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charts/chart18.xml" ContentType="application/vnd.openxmlformats-officedocument.drawingml.chart+xml"/>
  <Override PartName="/xl/charts/chart27.xml" ContentType="application/vnd.openxmlformats-officedocument.drawingml.chart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34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0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240" yWindow="105" windowWidth="14805" windowHeight="8010" tabRatio="706"/>
  </bookViews>
  <sheets>
    <sheet name="Dashboard" sheetId="18" r:id="rId1"/>
    <sheet name="Graphic1" sheetId="22" r:id="rId2"/>
    <sheet name="Graphic2" sheetId="29" r:id="rId3"/>
    <sheet name="Graphic3" sheetId="30" r:id="rId4"/>
    <sheet name="Graphic4" sheetId="33" r:id="rId5"/>
    <sheet name="Graphic5" sheetId="34" r:id="rId6"/>
    <sheet name="Graphic6" sheetId="35" r:id="rId7"/>
    <sheet name="Graphic7" sheetId="25" r:id="rId8"/>
    <sheet name="Graphic8" sheetId="27" r:id="rId9"/>
    <sheet name="Graphic9" sheetId="28" r:id="rId10"/>
    <sheet name="Graphic10" sheetId="36" r:id="rId11"/>
    <sheet name="Graphic11" sheetId="37" r:id="rId12"/>
    <sheet name="Graphic12" sheetId="38" r:id="rId13"/>
    <sheet name="Graphic Data" sheetId="17" r:id="rId14"/>
    <sheet name="Raw Data" sheetId="15" r:id="rId15"/>
  </sheets>
  <externalReferences>
    <externalReference r:id="rId16"/>
    <externalReference r:id="rId17"/>
    <externalReference r:id="rId18"/>
  </externalReferences>
  <definedNames>
    <definedName name="_Fill" localSheetId="3" hidden="1">#REF!</definedName>
    <definedName name="_Fill" localSheetId="7" hidden="1">#REF!</definedName>
    <definedName name="_Fill" hidden="1">#REF!</definedName>
    <definedName name="_Key1" localSheetId="3" hidden="1">#REF!</definedName>
    <definedName name="_Key1" localSheetId="7" hidden="1">#REF!</definedName>
    <definedName name="_Key1" hidden="1">#REF!</definedName>
    <definedName name="_Order1" hidden="1">255</definedName>
    <definedName name="_Retention" localSheetId="3" hidden="1">#REF!</definedName>
    <definedName name="_Retention" hidden="1">#REF!</definedName>
    <definedName name="_Sort" localSheetId="3" hidden="1">#REF!</definedName>
    <definedName name="_Sort" localSheetId="7" hidden="1">#REF!</definedName>
    <definedName name="_Sort" hidden="1">#REF!</definedName>
    <definedName name="_Table1_In1" localSheetId="3" hidden="1">#REF!</definedName>
    <definedName name="_Table1_In1" localSheetId="7" hidden="1">#REF!</definedName>
    <definedName name="_Table1_In1" hidden="1">#REF!</definedName>
    <definedName name="_Table1_Out" localSheetId="3" hidden="1">#REF!</definedName>
    <definedName name="_Table1_Out" localSheetId="7" hidden="1">#REF!</definedName>
    <definedName name="_Table1_Out" hidden="1">#REF!</definedName>
    <definedName name="_Table2_In1" localSheetId="3" hidden="1">#REF!</definedName>
    <definedName name="_Table2_In1" localSheetId="7" hidden="1">#REF!</definedName>
    <definedName name="_Table2_In1" hidden="1">#REF!</definedName>
    <definedName name="_Table2_Out" localSheetId="3" hidden="1">#REF!</definedName>
    <definedName name="_Table2_Out" localSheetId="7" hidden="1">#REF!</definedName>
    <definedName name="_Table2_Out" hidden="1">#REF!</definedName>
    <definedName name="Albany">'[1]DIN Categories_0506'!$A$4:'[1]DIN Categories_0506'!$J$34</definedName>
    <definedName name="Chart1_Alert">CHOOSE(Chart1_Score,Red,Yellow,Green)</definedName>
    <definedName name="Chart2_Alert">CHOOSE(Chart2_Score,Red,Yellow,Green)</definedName>
    <definedName name="Chart3_Alert">CHOOSE(Chart3_Score,Red,Yellow,Green)</definedName>
    <definedName name="Chart5_Alert">CHOOSE(Chart5_Score,Red,Yellow,Green)</definedName>
    <definedName name="Data_Points">'Graphic Data'!$B$2</definedName>
    <definedName name="DataNums">[2]!DataNums</definedName>
    <definedName name="DataPoints">'Graphic Data'!$B$2</definedName>
    <definedName name="DataText">[2]!DataText</definedName>
    <definedName name="DataYr">[2]!DataYr</definedName>
    <definedName name="DescQtr">[2]!DescQtr</definedName>
    <definedName name="DescText">[2]!DescText</definedName>
    <definedName name="DescYr">[2]!DescYr</definedName>
    <definedName name="DFB">#N/A</definedName>
    <definedName name="dl_applicant">OFFSET(ref_dl_applicant,0,8-Data_Points,1,Data_Points)</definedName>
    <definedName name="dl_enrollment">OFFSET(ref_dl_enrollment,0,8-Data_Points,1,Data_Points)</definedName>
    <definedName name="dl_ethnicity_employee">OFFSET(ref_dl_ethnicity_employee,0,8-Data_Points,1,Data_Points)</definedName>
    <definedName name="dl_ethnicity_student">OFFSET(ref_dl_ethnicity_student,0,8-Data_Points,1,Data_Points)</definedName>
    <definedName name="dl_expense">OFFSET(ref_dl_expense,0,8-Data_Points,1,Data_Points)</definedName>
    <definedName name="dl_freshman">OFFSET(ref_dl_freshman,0,8-Data_Points,1,Data_Points)</definedName>
    <definedName name="dl_gender">OFFSET(ref_dl_gender,0,8-Data_Points,1,Data_Points)</definedName>
    <definedName name="dl_gpa">OFFSET(ref_dl_gpa,0,8-Data_Points,1,Data_Points)</definedName>
    <definedName name="dl_graduation">OFFSET(ref_dl_graduation,0,8-Data_Points,1,Data_Points)</definedName>
    <definedName name="dl_income">OFFSET(ref_dl_income,0,8-Data_Points,1,Data_Points)</definedName>
    <definedName name="dl_new">OFFSET(ref_dl_new,0,8-Data_Points,1,Data_Points)</definedName>
    <definedName name="dl_retention">OFFSET(ref_dl_retention,0,8-Data_Points,1,Data_Points)</definedName>
    <definedName name="ds_applicant_CAPA">OFFSET(ref_ds_applicant_CAPA,0,8-Data_Points,1,Data_Points)</definedName>
    <definedName name="ds_applicant_doctoral">OFFSET(ref_ds_applicant_doctoral,0,8-Data_Points,1,Data_Points)</definedName>
    <definedName name="ds_applicant_freshman">OFFSET(ref_ds_applicant_freshman,0,8-Data_Points,1,Data_Points)</definedName>
    <definedName name="ds_applicant_law">OFFSET(ref_ds_applicant_law,0,8-Data_Points,1,Data_Points)</definedName>
    <definedName name="ds_applicant_mcmaster">OFFSET(ref_ds_applicant_mcmaster,0,8-Data_Points,1,Data_Points)</definedName>
    <definedName name="ds_applicant_mctransfer">OFFSET(ref_ds_applicant_mctransfer,0,8-Data_Points,1,Data_Points)</definedName>
    <definedName name="ds_applicant_rcamaster">OFFSET(ref_ds_applicant_rcamaster,0,8-Data_Points,1,Data_Points)</definedName>
    <definedName name="ds_applicant_rcatransfer">OFFSET(ref_ds_applicant_rcatransfer,0,8-Data_Points,1,Data_Points)</definedName>
    <definedName name="ds_enrollment_CAPA">OFFSET(ref_ds_enrollment_CAPA,0,8-Data_Points,1,Data_Points)</definedName>
    <definedName name="ds_enrollment_doctoral">OFFSET(ref_ds_enrollment_doctoral,0,8-Data_Points,1,Data_Points)</definedName>
    <definedName name="ds_enrollment_law">OFFSET(ref_ds_enrollment_law,0,8-Data_Points,1,Data_Points)</definedName>
    <definedName name="ds_enrollment_MCGR">OFFSET(ref_ds_enrollment_MCGR,0,8-Data_Points,1,Data_Points)</definedName>
    <definedName name="ds_enrollment_MCUG">OFFSET(ref_ds_enrollment_MCUG,0,8-Data_Points,1,Data_Points)</definedName>
    <definedName name="ds_enrollment_other">OFFSET(ref_ds_enrollment_other,0,8-Data_Points,1,Data_Points)</definedName>
    <definedName name="ds_enrollment_total">OFFSET(ref_ds_enrollment_total,0,8-Data_Points,1,Data_Points)</definedName>
    <definedName name="ds_ethnicity_faculty_asian">OFFSET(ref_ds_ethnicity_faculty_asian,0,8-Data_Points,1,Data_Points)</definedName>
    <definedName name="ds_ethnicity_faculty_black">OFFSET(ref_ds_ethnicity_faculty_black,0,8-Data_Points,1,Data_Points)</definedName>
    <definedName name="ds_ethnicity_faculty_hispanic">OFFSET(ref_ds_ethnicity_faculty_hispanic,0,8-Data_Points,1,Data_Points)</definedName>
    <definedName name="ds_ethnicity_faculty_white">OFFSET(ref_ds_ethnicity_faculty_white,0,8-Data_Points,1,Data_Points)</definedName>
    <definedName name="ds_ethnicity_staff_asian">OFFSET(ref_ds_ethnicity_staff_asian,0,8-Data_Points,1,Data_Points)</definedName>
    <definedName name="ds_ethnicity_staff_black">OFFSET(ref_ds_ethnicity_staff_black,0,8-Data_Points,1,Data_Points)</definedName>
    <definedName name="ds_ethnicity_staff_hispanic">OFFSET(ref_ds_ethnicity_staff_hispanic,0,8-Data_Points,1,Data_Points)</definedName>
    <definedName name="ds_ethnicity_staff_white">OFFSET(ref_ds_ethnicity_staff_white,0,8-Data_Points,1,Data_Points)</definedName>
    <definedName name="ds_ethnicity_student_asian">OFFSET(ref_ds_ethnicity_student_asian,0,8-Data_Points,1,Data_Points)</definedName>
    <definedName name="ds_ethnicity_student_black">OFFSET(ref_ds_ethnicity_student_black,0,8-Data_Points,1,Data_Points)</definedName>
    <definedName name="ds_ethnicity_student_caucasian">OFFSET(ref_ds_ethnicity_student_caucasian,0,8-Data_Points,1,Data_Points)</definedName>
    <definedName name="ds_ethnicity_student_hispanic">OFFSET(ref_ds_ethnicity_student_hispanic,0,8-Data_Points,1,Data_Points)</definedName>
    <definedName name="ds_ethnicity_student_other">OFFSET(ref_ds_ethnicity_student_other,0,8-Data_Points,1,Data_Points)</definedName>
    <definedName name="ds_expense_academic">OFFSET(ref_ds_expense_academic,0,8-Data_Points,1,Data_Points)</definedName>
    <definedName name="ds_expense_auxi">OFFSET(ref_ds_expense_auxi,0,8-Data_Points,1,Data_Points)</definedName>
    <definedName name="ds_expense_institutional">OFFSET(ref_ds_expense_institutional,0,8-Data_Points,1,Data_Points)</definedName>
    <definedName name="ds_expense_instruction">OFFSET(ref_ds_expense_instruction,0,8-Data_Points,1,Data_Points)</definedName>
    <definedName name="ds_expense_student">OFFSET(ref_ds_expense_student,0,8-Data_Points,1,Data_Points)</definedName>
    <definedName name="ds_expense_total">OFFSET(ref_ds_expense_total,0,8-Data_Points,1,Data_Points)</definedName>
    <definedName name="ds_freshman_gpa">OFFSET(ref_ds_freshman_gpa,0,8-Data_Points,1,Data_Points)</definedName>
    <definedName name="ds_freshman_SAT">OFFSET(ref_ds_freshman_SAT,0,8-Data_Points,1,Data_Points)</definedName>
    <definedName name="ds_gender_faculty">OFFSET(ref_ds_gender_faculty,0,8-Data_Points,1,Data_Points)</definedName>
    <definedName name="ds_gender_staff">OFFSET(ref_ds_gender_staff,0,8-Data_Points,1,Data_Points)</definedName>
    <definedName name="ds_gender_student">OFFSET(ref_ds_gender_student,0,8-Data_Points,1,Data_Points)</definedName>
    <definedName name="ds_gpa_fresh">OFFSET(ref_ds_gpa_fresh,0,8-Data_Points,1,Data_Points)</definedName>
    <definedName name="ds_gpa_Jun">OFFSET(ref_ds_gpa_Jun,0,8-Data_Points,1,Data_Points)+'Graphic Data'!$A$3</definedName>
    <definedName name="ds_gpa_sen">OFFSET(ref_ds_gpa_sen,0,8-Data_Points,1,Data_Points)</definedName>
    <definedName name="ds_gpa_soph" xml:space="preserve"> OFFSET(ref_ds_gpa_soph,0,8-Data_Points,1,Data_Points)</definedName>
    <definedName name="ds_graduation_Freshman4">OFFSET(ref_ds_graduation_Freshman4,0,8-Data_Points,1,Data_Points)</definedName>
    <definedName name="ds_graduation_Freshman6">OFFSET(ref_ds_graduation_Freshman6,0,8-Data_Points,1,Data_Points)</definedName>
    <definedName name="ds_graduation_transfer4">OFFSET(ref_ds_graduation_transfer4,0,8-Data_Points,1,Data_Points)</definedName>
    <definedName name="ds_graduation_transfer6">OFFSET(ref_ds_graduation_transfer6,0,8-Data_Points,1,Data_Points)</definedName>
    <definedName name="ds_income_ann">OFFSET(ref_ds_income_ann,0,8-Data_Points,1,Data_Points)</definedName>
    <definedName name="ds_income_auxi">OFFSET(ref_ds_income_auxi,0,8-Data_Points,1,Data_Points)</definedName>
    <definedName name="ds_income_gov">OFFSET(ref_ds_income_gov,0,8-Data_Points,1,Data_Points)</definedName>
    <definedName name="ds_income_invest">OFFSET(ref_ds_income_invest,0,8-Data_Points,1,Data_Points)</definedName>
    <definedName name="ds_income_other">OFFSET(ref_ds_income_other,0,8-Data_Points,1,Data_Points)</definedName>
    <definedName name="ds_income_prem">OFFSET(ref_ds_income_prem,0,8-Data_Points,1,Data_Points)</definedName>
    <definedName name="ds_income_private">OFFSET(ref_ds_income_private,0,8-Data_Points,1,Data_Points)</definedName>
    <definedName name="ds_income_sponsor">OFFSET(ref_ds_income_sponsor,0,8-Data_Points,1,Data_Points)</definedName>
    <definedName name="ds_income_total">OFFSET(ref_ds_income_total,0,8-Data_Points,1,Data_Points)</definedName>
    <definedName name="ds_income_tuition">OFFSET(ref_ds_income_tuition,0,8-Data_Points,1,Data_Points)</definedName>
    <definedName name="ds_new_CAPA">OFFSET(ref_ds_new_CAPA,0,8-Data_Points,1,Data_Points)</definedName>
    <definedName name="ds_new_doctoral">OFFSET(ref_ds_new_doctoral,0,8-Data_Points,1,Data_Points)</definedName>
    <definedName name="ds_new_freshman">OFFSET(ref_ds_new_freshman,0,8-Data_Points,1,Data_Points)</definedName>
    <definedName name="ds_new_law">OFFSET(ref_ds_new_law,0,8-Data_Points,1,Data_Points)</definedName>
    <definedName name="ds_new_mcmaster">OFFSET(ref_ds_new_mcmaster,0,8-Data_Points,1,Data_Points)</definedName>
    <definedName name="ds_new_mctransfer">OFFSET(ref_ds_new_mctransfer,0,8-Data_Points,1,Data_Points)</definedName>
    <definedName name="ds_new_rcamaster">OFFSET(ref_ds_new_rcamaster,0,8-Data_Points,1,Data_Points)</definedName>
    <definedName name="ds_new_rcatransfer">OFFSET(ref_ds_new_rcatransfer,0,8-Data_Points,1,Data_Points)</definedName>
    <definedName name="ds_retention_capa">OFFSET(ref_ds_retention_capa,0,8-Data_Points,1,Data_Points)</definedName>
    <definedName name="ds_retention_freshman">OFFSET(ref_ds_retention_freshman,0,8-Data_Points,1,Data_Points)</definedName>
    <definedName name="ds_retention_rca">OFFSET(ref_ds_retention_rca,0,8-Data_Points,1,Data_Points)</definedName>
    <definedName name="ds_retention_transfer">OFFSET(ref_ds_retention_transfer,0,8-Data_Points,1,Data_Points)</definedName>
    <definedName name="Graph1_1">CHOOSE('[3]Campus Data'!$D$10,Red,Yellow,Green)</definedName>
    <definedName name="Graph1_2">CHOOSE('[3]Campus Data'!$E$10,Red,Yellow,Green)</definedName>
    <definedName name="Graph1_3">CHOOSE('[3]Campus Data'!$F$10,Red,Yellow,Green)</definedName>
    <definedName name="Graph1_4">CHOOSE('[3]Campus Data'!$G$10,Red,Yellow,Green)</definedName>
    <definedName name="Graph1_5">CHOOSE('[3]Campus Data'!$H$10,Red,Yellow,Green)</definedName>
    <definedName name="Graph10_1">CHOOSE('[3]Campus Data'!$D$44,Red,Yellow,Green)</definedName>
    <definedName name="Graph10_2">CHOOSE('[3]Campus Data'!$E$44,Red,Yellow,Green)</definedName>
    <definedName name="Graph10_3">CHOOSE('[3]Campus Data'!$F$44,Red,Yellow,Green)</definedName>
    <definedName name="Graph10_4">CHOOSE('[3]Campus Data'!$G$44,Red,Yellow,Green)</definedName>
    <definedName name="Graph10_5">CHOOSE('[3]Campus Data'!$H$44,Red,Yellow,Green)</definedName>
    <definedName name="Graph11_1">CHOOSE('[3]Campus Data'!$D$47,Red,Yellow,Green)</definedName>
    <definedName name="Graph11_2">CHOOSE('[3]Campus Data'!$E$47,Red,Yellow,Green)</definedName>
    <definedName name="Graph11_3">CHOOSE('[3]Campus Data'!$F$47,Red,Yellow,Green)</definedName>
    <definedName name="Graph11_4">CHOOSE('[3]Campus Data'!$G$47,Red,Yellow,Green)</definedName>
    <definedName name="Graph11_5">CHOOSE('[3]Campus Data'!$H$47,Red,Yellow,Green)</definedName>
    <definedName name="Graph12_1">CHOOSE('[3]Campus Data'!$D$50,Red,Yellow,Green)</definedName>
    <definedName name="Graph12_2">CHOOSE('[3]Campus Data'!$E$50,Red,Yellow,Green)</definedName>
    <definedName name="Graph12_3">CHOOSE('[3]Campus Data'!$F$50,Red,Yellow,Green)</definedName>
    <definedName name="Graph12_4">CHOOSE('[3]Campus Data'!$G$50,Red,Yellow,Green)</definedName>
    <definedName name="Graph12_5">CHOOSE('[3]Campus Data'!$H$50,Red,Yellow,Green)</definedName>
    <definedName name="Graph2_1">CHOOSE('[3]Campus Data'!$D$15,Red,Yellow,Green)</definedName>
    <definedName name="Graph2_2">CHOOSE('[3]Campus Data'!$E$15,Red,Yellow,Green)</definedName>
    <definedName name="Graph2_3">CHOOSE('[3]Campus Data'!$F$15,Red,Yellow,Green)</definedName>
    <definedName name="Graph2_4">CHOOSE('[3]Campus Data'!$G$15,Red,Yellow,Green)</definedName>
    <definedName name="Graph2_5">CHOOSE('[3]Campus Data'!$H$15,Red,Yellow,Green)</definedName>
    <definedName name="Graph3_1">CHOOSE('[3]Campus Data'!$D$18,Red,Yellow,Green)</definedName>
    <definedName name="Graph3_2">CHOOSE('[3]Campus Data'!$E$18,Red,Yellow,Green)</definedName>
    <definedName name="Graph3_3">CHOOSE('[3]Campus Data'!$F$18,Red,Yellow,Green)</definedName>
    <definedName name="Graph3_4">CHOOSE('[3]Campus Data'!$G$18,Red,Yellow,Green)</definedName>
    <definedName name="Graph3_5">CHOOSE('[3]Campus Data'!$H$18,Red,Yellow,Green)</definedName>
    <definedName name="Graph4_1">CHOOSE('[3]Campus Data'!$D$22,Red,Yellow,Green)</definedName>
    <definedName name="Graph4_2">CHOOSE('[3]Campus Data'!$E$22,Red,Yellow,Green)</definedName>
    <definedName name="Graph4_3">CHOOSE('[3]Campus Data'!$F$22,Red,Yellow,Green)</definedName>
    <definedName name="Graph4_4">CHOOSE('[3]Campus Data'!$G$22,Red,Yellow,Green)</definedName>
    <definedName name="Graph4_5">CHOOSE('[3]Campus Data'!$H$22,Red,Yellow,Green)</definedName>
    <definedName name="Graph5_1">CHOOSE('[3]Campus Data'!$D$25,Red,Yellow,Green)</definedName>
    <definedName name="Graph5_2">CHOOSE('[3]Campus Data'!$E$25,Red,Yellow,Green)</definedName>
    <definedName name="Graph5_3">CHOOSE('[3]Campus Data'!$F$25,Red,Yellow,Green)</definedName>
    <definedName name="Graph5_4">CHOOSE('[3]Campus Data'!$G$25,Red,Yellow,Green)</definedName>
    <definedName name="Graph5_5">CHOOSE('[3]Campus Data'!$H$25,Red,Yellow,Green)</definedName>
    <definedName name="Graph6_1">CHOOSE('[3]Campus Data'!$D$28,Red,Yellow,Green)</definedName>
    <definedName name="Graph6_2">CHOOSE('[3]Campus Data'!$E$28,Red,Yellow,Green)</definedName>
    <definedName name="Graph6_3">CHOOSE('[3]Campus Data'!$F$28,Red,Yellow,Green)</definedName>
    <definedName name="Graph6_4">CHOOSE('[3]Campus Data'!$G$28,Red,Yellow,Green)</definedName>
    <definedName name="Graph6_5">CHOOSE('[3]Campus Data'!$H$28,Red,Yellow,Green)</definedName>
    <definedName name="Graph7_1">CHOOSE('[3]Campus Data'!$D$31,Red,Yellow,Green)</definedName>
    <definedName name="Graph7_2">CHOOSE('[3]Campus Data'!$E$31,Red,Yellow,Green)</definedName>
    <definedName name="Graph7_3">CHOOSE('[3]Campus Data'!$F$31,Red,Yellow,Green)</definedName>
    <definedName name="Graph7_4">CHOOSE('[3]Campus Data'!$G$31,Red,Yellow,Green)</definedName>
    <definedName name="Graph7_5">CHOOSE('[3]Campus Data'!$H$31,Red,Yellow,Green)</definedName>
    <definedName name="Graph8_1">CHOOSE('[3]Campus Data'!$D$34,Red,Yellow,Green)</definedName>
    <definedName name="Graph8_2">CHOOSE('[3]Campus Data'!$E$34,Red,Yellow,Green)</definedName>
    <definedName name="Graph8_3">CHOOSE('[3]Campus Data'!$F$34,Red,Yellow,Green)</definedName>
    <definedName name="Graph8_4">CHOOSE('[3]Campus Data'!$G$34,Red,Yellow,Green)</definedName>
    <definedName name="Graph8_5">CHOOSE('[3]Campus Data'!$H$34,Red,Yellow,Green)</definedName>
    <definedName name="Graph9_1">CHOOSE('[3]Campus Data'!$D$39,Red,Yellow,Green)</definedName>
    <definedName name="Graph9_2">CHOOSE('[3]Campus Data'!$E$39,Red,Yellow,Green)</definedName>
    <definedName name="Graph9_3">CHOOSE('[3]Campus Data'!$F$39,Red,Yellow,Green)</definedName>
    <definedName name="Graph9_4">CHOOSE('[3]Campus Data'!$G$39,Red,Yellow,Green)</definedName>
    <definedName name="Graph9_5">CHOOSE('[3]Campus Data'!$H$39,Red,Yellow,Green)</definedName>
    <definedName name="InstNum">'Graphic Data'!$B$2</definedName>
    <definedName name="kyd.ChngCell.01." localSheetId="3" hidden="1">#REF!</definedName>
    <definedName name="kyd.ChngCell.01." localSheetId="7" hidden="1">#REF!</definedName>
    <definedName name="kyd.ChngCell.01." hidden="1">#REF!</definedName>
    <definedName name="kyd.CounterLimitCell.01." hidden="1">"x"</definedName>
    <definedName name="kyd.Dim.01." hidden="1">"local:Company"</definedName>
    <definedName name="kyd.ElementList.01." localSheetId="3" hidden="1">#REF!</definedName>
    <definedName name="kyd.ElementList.01." localSheetId="7" hidden="1">#REF!</definedName>
    <definedName name="kyd.ElementList.01." hidden="1">#REF!</definedName>
    <definedName name="kyd.ElementType.01." hidden="1">3</definedName>
    <definedName name="kyd.ItemType.01." hidden="1">2</definedName>
    <definedName name="kyd.MacroAfterMemoRow." hidden="1">""</definedName>
    <definedName name="kyd.MacroAfterZap." hidden="1">""</definedName>
    <definedName name="kyd.MacroAtEnd." hidden="1">""</definedName>
    <definedName name="kyd.MacroEachCycle." hidden="1">"FormatReport"</definedName>
    <definedName name="kyd.MacroEndOfEachCycle." hidden="1">""</definedName>
    <definedName name="kyd.MacroStartOfProc." hidden="1">""</definedName>
    <definedName name="kyd.MemoCtrlNum." hidden="1">0</definedName>
    <definedName name="kyd.MemoSortHide." hidden="1">FALSE</definedName>
    <definedName name="kyd.NumLevels.01." hidden="1">999</definedName>
    <definedName name="kyd.PanicStop." hidden="1">FALSE</definedName>
    <definedName name="kyd.ParentName.01." hidden="1">""</definedName>
    <definedName name="kyd.PreScreenData." hidden="1">FALSE</definedName>
    <definedName name="kyd.PrintMemo." hidden="1">FALSE</definedName>
    <definedName name="kyd.PrintParent.01." hidden="1">TRUE</definedName>
    <definedName name="kyd.PrintStdAlertCell." localSheetId="3" hidden="1">#REF!</definedName>
    <definedName name="kyd.PrintStdAlertCell." localSheetId="7" hidden="1">#REF!</definedName>
    <definedName name="kyd.PrintStdAlertCell." hidden="1">#REF!</definedName>
    <definedName name="kyd.PrintStdWhen." hidden="1">3</definedName>
    <definedName name="kyd.PrintToWbk." hidden="1">FALSE</definedName>
    <definedName name="kyd.ProcessInCycle." hidden="1">FALSE</definedName>
    <definedName name="kyd.SaveAsFile." hidden="1">FALSE</definedName>
    <definedName name="kyd.SaveMemo." hidden="1">FALSE</definedName>
    <definedName name="kyd.SelectString.01." hidden="1">"*"</definedName>
    <definedName name="kyd.ServerCell." localSheetId="3" hidden="1">#REF!</definedName>
    <definedName name="kyd.ServerCell." localSheetId="7" hidden="1">#REF!</definedName>
    <definedName name="kyd.ServerCell." hidden="1">#REF!</definedName>
    <definedName name="kyd.Shortcut." hidden="1">FALSE</definedName>
    <definedName name="kyd.StdSortHide." hidden="1">FALSE</definedName>
    <definedName name="kyd.StopRow." hidden="1">65536</definedName>
    <definedName name="kyd.WriteMemWhenOptn." hidden="1">3</definedName>
    <definedName name="Name">[2]!Name</definedName>
    <definedName name="_xlnm.Print_Area" localSheetId="0">Dashboard!$B$2:$H$27</definedName>
    <definedName name="_xlnm.Print_Area" localSheetId="1">Graphic1!$A$1:$M$34</definedName>
    <definedName name="_xlnm.Print_Area" localSheetId="10">Graphic10!$A$1:$M$35</definedName>
    <definedName name="_xlnm.Print_Area" localSheetId="11">Graphic11!$A$1:$M$35</definedName>
    <definedName name="_xlnm.Print_Area" localSheetId="12">Graphic12!$A$1:$M$35</definedName>
    <definedName name="_xlnm.Print_Area" localSheetId="2">Graphic2!$A$1:$M$34</definedName>
    <definedName name="_xlnm.Print_Area" localSheetId="3">Graphic3!$A$1:$M$34</definedName>
    <definedName name="_xlnm.Print_Area" localSheetId="4">Graphic4!$A$1:$L$34</definedName>
    <definedName name="_xlnm.Print_Area" localSheetId="5">Graphic5!$A$1:$L$34</definedName>
    <definedName name="_xlnm.Print_Area" localSheetId="6">Graphic6!$A$1:$L$34</definedName>
    <definedName name="_xlnm.Print_Area" localSheetId="7">Graphic7!$A$1:$M$34</definedName>
    <definedName name="_xlnm.Print_Area" localSheetId="8">Graphic8!$A$1:$M$34</definedName>
    <definedName name="_xlnm.Print_Area" localSheetId="9">Graphic9!$A$1:$M$34</definedName>
    <definedName name="_xlnm.Print_Area" localSheetId="14">'Raw Data'!$A$198:$K$213</definedName>
    <definedName name="Quarter">[2]!Quarter</definedName>
    <definedName name="RASSETS">#N/A</definedName>
    <definedName name="ref_applicant">'Raw Data'!$B$110</definedName>
    <definedName name="ref_dl_applicant">'Graphic Data'!$F$43</definedName>
    <definedName name="ref_dl_enrollment">'Graphic Data'!$F$14</definedName>
    <definedName name="ref_dl_ethnicity_employee">'Graphic Data'!$F$92</definedName>
    <definedName name="ref_dl_ethnicity_student">'Graphic Data'!$F$85</definedName>
    <definedName name="ref_dl_expense">'Graphic Data'!$F$35</definedName>
    <definedName name="ref_dl_freshman">'Graphic Data'!$F$63</definedName>
    <definedName name="ref_dl_gender">'Graphic Data'!$F$102</definedName>
    <definedName name="ref_dl_gpa">'Graphic Data'!$F$79</definedName>
    <definedName name="ref_dl_graduation">'Graphic Data'!$F$73</definedName>
    <definedName name="ref_dl_income">'Graphic Data'!$F$23</definedName>
    <definedName name="ref_dl_new">'Graphic Data'!$F$53</definedName>
    <definedName name="ref_dl_retention">'Graphic Data'!$F$67</definedName>
    <definedName name="ref_ds_applicant_CAPA">'Graphic Data'!$F$46</definedName>
    <definedName name="ref_ds_applicant_doctoral">'Graphic Data'!$F$50</definedName>
    <definedName name="ref_ds_applicant_freshman">'Graphic Data'!$F$44</definedName>
    <definedName name="ref_ds_applicant_law">'Graphic Data'!$F$51</definedName>
    <definedName name="ref_ds_applicant_mcmaster">'Graphic Data'!$F$48</definedName>
    <definedName name="ref_ds_applicant_mctransfer">'Graphic Data'!$F$45</definedName>
    <definedName name="ref_ds_applicant_rcamaster">'Graphic Data'!$F$49</definedName>
    <definedName name="ref_ds_applicant_rcatransfer">'Graphic Data'!$F$47</definedName>
    <definedName name="ref_ds_enrollment_CAPA">'Graphic Data'!$F$17</definedName>
    <definedName name="ref_ds_enrollment_doctoral">'Graphic Data'!$F$18</definedName>
    <definedName name="ref_ds_enrollment_law">'Graphic Data'!$F$19</definedName>
    <definedName name="ref_ds_enrollment_MCGR">'Graphic Data'!$F$16</definedName>
    <definedName name="ref_ds_enrollment_MCUG">'Graphic Data'!$F$15</definedName>
    <definedName name="ref_ds_enrollment_other">'Graphic Data'!$F$20</definedName>
    <definedName name="ref_ds_enrollment_total">'Graphic Data'!$F$21</definedName>
    <definedName name="ref_ds_ethnicity_faculty_asian">'Graphic Data'!$F$94</definedName>
    <definedName name="ref_ds_ethnicity_faculty_black">'Graphic Data'!$F$93</definedName>
    <definedName name="ref_ds_ethnicity_faculty_hispanic">'Graphic Data'!$F$95</definedName>
    <definedName name="ref_ds_ethnicity_faculty_white">'Graphic Data'!$F$96</definedName>
    <definedName name="ref_ds_ethnicity_staff_asian">'Graphic Data'!$F$98</definedName>
    <definedName name="ref_ds_ethnicity_staff_black">'Graphic Data'!$F$97</definedName>
    <definedName name="ref_ds_ethnicity_staff_hispanic">'Graphic Data'!$F$99</definedName>
    <definedName name="ref_ds_ethnicity_staff_white">'Graphic Data'!$F$100</definedName>
    <definedName name="ref_ds_ethnicity_student_asian">'Graphic Data'!$F$87</definedName>
    <definedName name="ref_ds_ethnicity_student_black">'Graphic Data'!$F$86</definedName>
    <definedName name="ref_ds_ethnicity_student_caucasian">'Graphic Data'!$F$89</definedName>
    <definedName name="ref_ds_ethnicity_student_hispanic">'Graphic Data'!$F$88</definedName>
    <definedName name="ref_ds_ethnicity_student_other">'Graphic Data'!$F$90</definedName>
    <definedName name="ref_ds_expense_academic">'Graphic Data'!$F$37</definedName>
    <definedName name="ref_ds_expense_auxi">'Graphic Data'!$F$40</definedName>
    <definedName name="ref_ds_expense_institutional">'Graphic Data'!$F$39</definedName>
    <definedName name="ref_ds_expense_instruction">'Graphic Data'!$F$36</definedName>
    <definedName name="ref_ds_expense_student">'Graphic Data'!$F$38</definedName>
    <definedName name="ref_ds_expense_total">'Graphic Data'!$F$41</definedName>
    <definedName name="ref_ds_freshman_gpa">'Graphic Data'!$F$64</definedName>
    <definedName name="ref_ds_freshman_SAT">'Graphic Data'!$F$65</definedName>
    <definedName name="ref_ds_gender_faculty">'Graphic Data'!$F$104</definedName>
    <definedName name="ref_ds_gender_staff">'Graphic Data'!$F$105</definedName>
    <definedName name="ref_ds_gender_student">'Graphic Data'!$F$103</definedName>
    <definedName name="ref_ds_gpa_fresh">'Graphic Data'!$F$80</definedName>
    <definedName name="ref_ds_gpa_Jun">'Graphic Data'!$F$82</definedName>
    <definedName name="ref_ds_gpa_sen">'Graphic Data'!$F$83</definedName>
    <definedName name="ref_ds_gpa_soph">'Graphic Data'!$F$81</definedName>
    <definedName name="ref_ds_graduation_Freshman4">'Graphic Data'!$F$74</definedName>
    <definedName name="ref_ds_graduation_Freshman6">'Graphic Data'!$F$75</definedName>
    <definedName name="ref_ds_graduation_transfer4">'Graphic Data'!$F$76</definedName>
    <definedName name="ref_ds_graduation_transfer6">'Graphic Data'!$F$77</definedName>
    <definedName name="ref_ds_income_ann">'Graphic Data'!$F$30</definedName>
    <definedName name="ref_ds_income_auxi">'Graphic Data'!$F$29</definedName>
    <definedName name="ref_ds_income_gov">'Graphic Data'!$F$26</definedName>
    <definedName name="ref_ds_income_invest">'Graphic Data'!$F$28</definedName>
    <definedName name="ref_ds_income_other">'Graphic Data'!$F$32</definedName>
    <definedName name="ref_ds_income_prem">'Graphic Data'!$F$31</definedName>
    <definedName name="ref_ds_income_private">'Graphic Data'!$F$25</definedName>
    <definedName name="ref_ds_income_sponsor">'Graphic Data'!$F$27</definedName>
    <definedName name="ref_ds_income_total">'Graphic Data'!$F$33</definedName>
    <definedName name="ref_ds_income_tuition">'Graphic Data'!$F$24</definedName>
    <definedName name="ref_ds_new_CAPA">'Graphic Data'!$F$56</definedName>
    <definedName name="ref_ds_new_doctoral">'Graphic Data'!$F$60</definedName>
    <definedName name="ref_ds_new_freshman">'Graphic Data'!$F$54</definedName>
    <definedName name="ref_ds_new_law">'Graphic Data'!$F$61</definedName>
    <definedName name="ref_ds_new_mcmaster">'Graphic Data'!$F$58</definedName>
    <definedName name="ref_ds_new_mctransfer">'Graphic Data'!$F$55</definedName>
    <definedName name="ref_ds_new_rcamaster">'Graphic Data'!$F$59</definedName>
    <definedName name="ref_ds_new_rcatransfer">'Graphic Data'!$F$57</definedName>
    <definedName name="ref_ds_retention_capa">'Graphic Data'!$F$70</definedName>
    <definedName name="ref_ds_retention_freshman">'Graphic Data'!$F$68</definedName>
    <definedName name="ref_ds_retention_rca">'Graphic Data'!$F$71</definedName>
    <definedName name="ref_ds_retention_transfer">'Graphic Data'!$F$69</definedName>
    <definedName name="ref_enrollment">'Raw Data'!$B$4</definedName>
    <definedName name="ref_ethnicity_employee">'Raw Data'!$B$198</definedName>
    <definedName name="ref_ethnicity_student">'Raw Data'!$B$168</definedName>
    <definedName name="ref_expense">'Raw Data'!$B$100</definedName>
    <definedName name="ref_freshman">'Raw Data'!$B$130</definedName>
    <definedName name="ref_gender">'Raw Data'!$B$215</definedName>
    <definedName name="ref_graduation">'Raw Data'!$B$146</definedName>
    <definedName name="ref_income">'Raw Data'!$B$69</definedName>
    <definedName name="ref_new">'Raw Data'!$B$120</definedName>
    <definedName name="ref_PrintRange_Start">'Graphic Data'!$F$78</definedName>
    <definedName name="ref_retention">'Raw Data'!$B$141</definedName>
    <definedName name="ref_total_gpa">'Raw Data'!$B$151</definedName>
    <definedName name="RFB">#N/A</definedName>
    <definedName name="RLIAB">#N/A</definedName>
    <definedName name="SUMM6_7">#N/A</definedName>
    <definedName name="Year">[2]!Year</definedName>
    <definedName name="Year_End">[2]!Year_End</definedName>
  </definedNames>
  <calcPr calcId="125725"/>
</workbook>
</file>

<file path=xl/calcChain.xml><?xml version="1.0" encoding="utf-8"?>
<calcChain xmlns="http://schemas.openxmlformats.org/spreadsheetml/2006/main">
  <c r="B20" i="17"/>
  <c r="E102"/>
  <c r="H103" s="1"/>
  <c r="D102"/>
  <c r="C102"/>
  <c r="C92"/>
  <c r="C85"/>
  <c r="D215" i="15"/>
  <c r="E215" s="1"/>
  <c r="F215" s="1"/>
  <c r="G215" s="1"/>
  <c r="H215" s="1"/>
  <c r="I215" s="1"/>
  <c r="J215" s="1"/>
  <c r="B100" i="17"/>
  <c r="B96"/>
  <c r="E92"/>
  <c r="H100" s="1"/>
  <c r="D92"/>
  <c r="B99"/>
  <c r="B98"/>
  <c r="B97"/>
  <c r="B95"/>
  <c r="B94"/>
  <c r="B93"/>
  <c r="B90"/>
  <c r="I178" i="15"/>
  <c r="J178"/>
  <c r="D178"/>
  <c r="E178"/>
  <c r="F178"/>
  <c r="G178"/>
  <c r="H178"/>
  <c r="C178"/>
  <c r="B89" i="17"/>
  <c r="B88"/>
  <c r="B87"/>
  <c r="B86"/>
  <c r="E85"/>
  <c r="D85"/>
  <c r="D176" i="15"/>
  <c r="E176"/>
  <c r="F176"/>
  <c r="G176"/>
  <c r="H176"/>
  <c r="I176"/>
  <c r="J176"/>
  <c r="C176"/>
  <c r="C57"/>
  <c r="C68" s="1"/>
  <c r="D57"/>
  <c r="D68" s="1"/>
  <c r="E57"/>
  <c r="G57"/>
  <c r="H57"/>
  <c r="G62"/>
  <c r="H62"/>
  <c r="E70"/>
  <c r="F70"/>
  <c r="E73"/>
  <c r="F73"/>
  <c r="E75"/>
  <c r="F75"/>
  <c r="E76"/>
  <c r="F76"/>
  <c r="E77"/>
  <c r="F77"/>
  <c r="E78"/>
  <c r="F78"/>
  <c r="E79"/>
  <c r="F79"/>
  <c r="E80"/>
  <c r="F80"/>
  <c r="E81"/>
  <c r="F81"/>
  <c r="E82"/>
  <c r="F82"/>
  <c r="E84"/>
  <c r="F84"/>
  <c r="G90"/>
  <c r="G93" s="1"/>
  <c r="H90"/>
  <c r="H93" s="1"/>
  <c r="C93"/>
  <c r="C101" s="1"/>
  <c r="D93"/>
  <c r="D101" s="1"/>
  <c r="C99"/>
  <c r="D99"/>
  <c r="E99"/>
  <c r="F99"/>
  <c r="E101"/>
  <c r="F101"/>
  <c r="C102"/>
  <c r="E102"/>
  <c r="F102"/>
  <c r="D103"/>
  <c r="E103"/>
  <c r="F103"/>
  <c r="C104"/>
  <c r="D104"/>
  <c r="E104"/>
  <c r="F104"/>
  <c r="E105"/>
  <c r="F105"/>
  <c r="C107"/>
  <c r="E107"/>
  <c r="F107"/>
  <c r="I57"/>
  <c r="I62"/>
  <c r="I90"/>
  <c r="I93" s="1"/>
  <c r="C26"/>
  <c r="C30" s="1"/>
  <c r="C32" s="1"/>
  <c r="C50"/>
  <c r="C40"/>
  <c r="G18"/>
  <c r="D26"/>
  <c r="E26"/>
  <c r="F26"/>
  <c r="G26"/>
  <c r="H26"/>
  <c r="I26"/>
  <c r="D30"/>
  <c r="G30"/>
  <c r="H30"/>
  <c r="H18" s="1"/>
  <c r="H32" s="1"/>
  <c r="I30"/>
  <c r="D32"/>
  <c r="I32"/>
  <c r="D40"/>
  <c r="G40"/>
  <c r="H40"/>
  <c r="I40"/>
  <c r="G45"/>
  <c r="G47"/>
  <c r="D50"/>
  <c r="H50"/>
  <c r="I50"/>
  <c r="J228"/>
  <c r="I228"/>
  <c r="H228"/>
  <c r="G228"/>
  <c r="F228"/>
  <c r="E228"/>
  <c r="D228"/>
  <c r="D224"/>
  <c r="E224"/>
  <c r="F224"/>
  <c r="G224"/>
  <c r="H224"/>
  <c r="I224"/>
  <c r="J224"/>
  <c r="C224"/>
  <c r="B65" i="17"/>
  <c r="B64"/>
  <c r="G130" i="15"/>
  <c r="B61" i="17"/>
  <c r="B60"/>
  <c r="B59"/>
  <c r="B58"/>
  <c r="B57"/>
  <c r="B56"/>
  <c r="B55"/>
  <c r="B54"/>
  <c r="B50"/>
  <c r="B51"/>
  <c r="B45"/>
  <c r="B46"/>
  <c r="B47"/>
  <c r="B48"/>
  <c r="B49"/>
  <c r="B44"/>
  <c r="D35"/>
  <c r="E35"/>
  <c r="C35"/>
  <c r="G120" i="15"/>
  <c r="H120" s="1"/>
  <c r="I120" s="1"/>
  <c r="J120" s="1"/>
  <c r="J114"/>
  <c r="I114"/>
  <c r="H114"/>
  <c r="G114"/>
  <c r="F114"/>
  <c r="G110"/>
  <c r="H110" s="1"/>
  <c r="I110" s="1"/>
  <c r="J110" s="1"/>
  <c r="J139"/>
  <c r="I139"/>
  <c r="H139"/>
  <c r="G139"/>
  <c r="F139"/>
  <c r="E139"/>
  <c r="D139"/>
  <c r="C139"/>
  <c r="J138"/>
  <c r="I138"/>
  <c r="H138"/>
  <c r="G138"/>
  <c r="F138"/>
  <c r="E138"/>
  <c r="D138"/>
  <c r="C138"/>
  <c r="G134"/>
  <c r="H134" s="1"/>
  <c r="I134" s="1"/>
  <c r="J134" s="1"/>
  <c r="K96" i="17" l="1"/>
  <c r="I96"/>
  <c r="G96"/>
  <c r="M100"/>
  <c r="K100"/>
  <c r="I100"/>
  <c r="G100"/>
  <c r="M101"/>
  <c r="M102" s="1"/>
  <c r="K101"/>
  <c r="K102" s="1"/>
  <c r="I101"/>
  <c r="I102" s="1"/>
  <c r="G101"/>
  <c r="G102" s="1"/>
  <c r="F104"/>
  <c r="M105"/>
  <c r="K105"/>
  <c r="I105"/>
  <c r="G105"/>
  <c r="L104"/>
  <c r="J104"/>
  <c r="H104"/>
  <c r="M103"/>
  <c r="K103"/>
  <c r="I103"/>
  <c r="G103"/>
  <c r="F96"/>
  <c r="J96"/>
  <c r="H96"/>
  <c r="F100"/>
  <c r="L100"/>
  <c r="J100"/>
  <c r="F101"/>
  <c r="F102" s="1"/>
  <c r="L101"/>
  <c r="L102" s="1"/>
  <c r="J101"/>
  <c r="J102" s="1"/>
  <c r="H101"/>
  <c r="H102" s="1"/>
  <c r="F103"/>
  <c r="F105"/>
  <c r="L105"/>
  <c r="J105"/>
  <c r="H105"/>
  <c r="M104"/>
  <c r="K104"/>
  <c r="I104"/>
  <c r="G104"/>
  <c r="L103"/>
  <c r="J103"/>
  <c r="H86"/>
  <c r="F90"/>
  <c r="K90"/>
  <c r="I90"/>
  <c r="G90"/>
  <c r="M91"/>
  <c r="M92" s="1"/>
  <c r="K91"/>
  <c r="K92" s="1"/>
  <c r="I91"/>
  <c r="I92" s="1"/>
  <c r="G91"/>
  <c r="G92" s="1"/>
  <c r="F94"/>
  <c r="F97"/>
  <c r="F99"/>
  <c r="L99"/>
  <c r="J99"/>
  <c r="H99"/>
  <c r="M98"/>
  <c r="K98"/>
  <c r="I98"/>
  <c r="G98"/>
  <c r="L97"/>
  <c r="J97"/>
  <c r="H97"/>
  <c r="K95"/>
  <c r="I95"/>
  <c r="G95"/>
  <c r="J94"/>
  <c r="H94"/>
  <c r="K93"/>
  <c r="I93"/>
  <c r="G93"/>
  <c r="L90"/>
  <c r="J90"/>
  <c r="H90"/>
  <c r="M90"/>
  <c r="F91"/>
  <c r="F92" s="1"/>
  <c r="L91"/>
  <c r="L92" s="1"/>
  <c r="J91"/>
  <c r="J92" s="1"/>
  <c r="H91"/>
  <c r="H92" s="1"/>
  <c r="F93"/>
  <c r="F95"/>
  <c r="F98"/>
  <c r="M99"/>
  <c r="K99"/>
  <c r="I99"/>
  <c r="G99"/>
  <c r="L98"/>
  <c r="J98"/>
  <c r="H98"/>
  <c r="M97"/>
  <c r="K97"/>
  <c r="I97"/>
  <c r="G97"/>
  <c r="J95"/>
  <c r="H95"/>
  <c r="K94"/>
  <c r="I94"/>
  <c r="G94"/>
  <c r="J93"/>
  <c r="H93"/>
  <c r="M84"/>
  <c r="M85" s="1"/>
  <c r="K84"/>
  <c r="K85" s="1"/>
  <c r="I84"/>
  <c r="I85" s="1"/>
  <c r="G84"/>
  <c r="G85" s="1"/>
  <c r="F87"/>
  <c r="F89"/>
  <c r="L89"/>
  <c r="J89"/>
  <c r="H89"/>
  <c r="M88"/>
  <c r="K88"/>
  <c r="I88"/>
  <c r="G88"/>
  <c r="L87"/>
  <c r="J87"/>
  <c r="H87"/>
  <c r="M86"/>
  <c r="K86"/>
  <c r="I86"/>
  <c r="G86"/>
  <c r="F84"/>
  <c r="F85" s="1"/>
  <c r="L84"/>
  <c r="L85" s="1"/>
  <c r="J84"/>
  <c r="J85" s="1"/>
  <c r="H84"/>
  <c r="F86"/>
  <c r="F88"/>
  <c r="M89"/>
  <c r="K89"/>
  <c r="I89"/>
  <c r="G89"/>
  <c r="L88"/>
  <c r="J88"/>
  <c r="H88"/>
  <c r="M87"/>
  <c r="K87"/>
  <c r="I87"/>
  <c r="G87"/>
  <c r="L86"/>
  <c r="J86"/>
  <c r="H68" i="15"/>
  <c r="H70" s="1"/>
  <c r="H81"/>
  <c r="H77"/>
  <c r="H84"/>
  <c r="H79"/>
  <c r="H75"/>
  <c r="H85" i="17"/>
  <c r="D107" i="15"/>
  <c r="D105"/>
  <c r="D102"/>
  <c r="H82"/>
  <c r="H80"/>
  <c r="H78"/>
  <c r="H76"/>
  <c r="H73"/>
  <c r="C70"/>
  <c r="C75"/>
  <c r="C76"/>
  <c r="C77"/>
  <c r="C78"/>
  <c r="C79"/>
  <c r="C80"/>
  <c r="C81"/>
  <c r="C82"/>
  <c r="C84"/>
  <c r="H95"/>
  <c r="H99" s="1"/>
  <c r="H102"/>
  <c r="H107"/>
  <c r="I68"/>
  <c r="I73" s="1"/>
  <c r="H104"/>
  <c r="C73"/>
  <c r="G68"/>
  <c r="G70" s="1"/>
  <c r="G50"/>
  <c r="I95"/>
  <c r="I101"/>
  <c r="I103"/>
  <c r="I105"/>
  <c r="I102"/>
  <c r="I107"/>
  <c r="I70"/>
  <c r="I76"/>
  <c r="I80"/>
  <c r="I75"/>
  <c r="I79"/>
  <c r="I84"/>
  <c r="D70"/>
  <c r="D73"/>
  <c r="D75"/>
  <c r="D76"/>
  <c r="D77"/>
  <c r="D78"/>
  <c r="D79"/>
  <c r="D80"/>
  <c r="D81"/>
  <c r="D82"/>
  <c r="D84"/>
  <c r="G32"/>
  <c r="I104"/>
  <c r="H105"/>
  <c r="C105"/>
  <c r="H103"/>
  <c r="C103"/>
  <c r="H101"/>
  <c r="G101"/>
  <c r="G103"/>
  <c r="G105"/>
  <c r="G102"/>
  <c r="G104"/>
  <c r="G107"/>
  <c r="C53" i="17"/>
  <c r="E53"/>
  <c r="H130" i="15"/>
  <c r="I130" s="1"/>
  <c r="J130" s="1"/>
  <c r="D53" i="17"/>
  <c r="D43"/>
  <c r="C43"/>
  <c r="E43"/>
  <c r="M42" s="1"/>
  <c r="M43" s="1"/>
  <c r="M34"/>
  <c r="B102" i="15"/>
  <c r="B37" i="17" s="1"/>
  <c r="B103" i="15"/>
  <c r="B38" i="17" s="1"/>
  <c r="B104" i="15"/>
  <c r="B39" i="17" s="1"/>
  <c r="B105" i="15"/>
  <c r="B40" i="17" s="1"/>
  <c r="B107" i="15"/>
  <c r="B41" i="17" s="1"/>
  <c r="B101" i="15"/>
  <c r="B36" i="17" s="1"/>
  <c r="B33"/>
  <c r="B32"/>
  <c r="B25"/>
  <c r="B26"/>
  <c r="B27"/>
  <c r="B28"/>
  <c r="B29"/>
  <c r="B30"/>
  <c r="B31"/>
  <c r="B24"/>
  <c r="E23"/>
  <c r="D23"/>
  <c r="C23"/>
  <c r="C14"/>
  <c r="M52" l="1"/>
  <c r="M53" s="1"/>
  <c r="G78" i="15"/>
  <c r="G81"/>
  <c r="G82"/>
  <c r="G73"/>
  <c r="G77"/>
  <c r="I81"/>
  <c r="I77"/>
  <c r="I82"/>
  <c r="I78"/>
  <c r="G95"/>
  <c r="G99" s="1"/>
  <c r="G80"/>
  <c r="G76"/>
  <c r="G84"/>
  <c r="G79"/>
  <c r="G75"/>
  <c r="E63" i="17"/>
  <c r="C63"/>
  <c r="D63"/>
  <c r="M55"/>
  <c r="M57"/>
  <c r="M59"/>
  <c r="M61"/>
  <c r="M54"/>
  <c r="M56"/>
  <c r="M58"/>
  <c r="M60"/>
  <c r="M46"/>
  <c r="M48"/>
  <c r="M50"/>
  <c r="M45"/>
  <c r="M47"/>
  <c r="M49"/>
  <c r="M51"/>
  <c r="M44"/>
  <c r="M35"/>
  <c r="M22"/>
  <c r="M23" s="1"/>
  <c r="F62" l="1"/>
  <c r="I62"/>
  <c r="M64"/>
  <c r="K62"/>
  <c r="L62"/>
  <c r="I65"/>
  <c r="J64"/>
  <c r="H62"/>
  <c r="I64"/>
  <c r="J65"/>
  <c r="K65"/>
  <c r="G62"/>
  <c r="L64"/>
  <c r="H64"/>
  <c r="J62"/>
  <c r="M62"/>
  <c r="M63" s="1"/>
  <c r="K64"/>
  <c r="G64"/>
  <c r="F65"/>
  <c r="F64"/>
  <c r="G65"/>
  <c r="L65"/>
  <c r="H65"/>
  <c r="M65"/>
  <c r="L12"/>
  <c r="B15"/>
  <c r="B16"/>
  <c r="B17"/>
  <c r="B18"/>
  <c r="B19"/>
  <c r="B21"/>
  <c r="D12" i="15"/>
  <c r="D10" s="1"/>
  <c r="E12"/>
  <c r="E10" s="1"/>
  <c r="F12"/>
  <c r="F10" s="1"/>
  <c r="G12"/>
  <c r="G10" s="1"/>
  <c r="H12"/>
  <c r="H10" s="1"/>
  <c r="I12"/>
  <c r="I10" s="1"/>
  <c r="J12"/>
  <c r="J10" s="1"/>
  <c r="C12"/>
  <c r="C10" s="1"/>
  <c r="G4"/>
  <c r="G151"/>
  <c r="B77" i="17"/>
  <c r="B76"/>
  <c r="B75"/>
  <c r="B74"/>
  <c r="G146" i="15"/>
  <c r="B70" i="17"/>
  <c r="B71"/>
  <c r="B69"/>
  <c r="B68"/>
  <c r="B81"/>
  <c r="B80"/>
  <c r="B82"/>
  <c r="B83"/>
  <c r="G141" i="15"/>
  <c r="C22" i="18"/>
  <c r="E22" s="1"/>
  <c r="G22" s="1"/>
  <c r="C17"/>
  <c r="G7"/>
  <c r="C12" s="1"/>
  <c r="E7"/>
  <c r="C7"/>
  <c r="L63" i="17" l="1"/>
  <c r="L52"/>
  <c r="L53" s="1"/>
  <c r="L34"/>
  <c r="L35" s="1"/>
  <c r="L42"/>
  <c r="L43" s="1"/>
  <c r="L56"/>
  <c r="L60"/>
  <c r="L55"/>
  <c r="L59"/>
  <c r="L47"/>
  <c r="L51"/>
  <c r="L44"/>
  <c r="L46"/>
  <c r="L50"/>
  <c r="L54"/>
  <c r="L58"/>
  <c r="L57"/>
  <c r="L61"/>
  <c r="L45"/>
  <c r="L49"/>
  <c r="L48"/>
  <c r="H146" i="15"/>
  <c r="I146" s="1"/>
  <c r="J146" s="1"/>
  <c r="H4"/>
  <c r="I4" s="1"/>
  <c r="J4" s="1"/>
  <c r="H151"/>
  <c r="I151" s="1"/>
  <c r="J151" s="1"/>
  <c r="L22" i="17"/>
  <c r="L23" s="1"/>
  <c r="K12"/>
  <c r="H141" i="15"/>
  <c r="I141" s="1"/>
  <c r="J141" s="1"/>
  <c r="D198"/>
  <c r="E198" s="1"/>
  <c r="F198" s="1"/>
  <c r="G198" s="1"/>
  <c r="H198" s="1"/>
  <c r="I198" s="1"/>
  <c r="J198" s="1"/>
  <c r="I208"/>
  <c r="J208"/>
  <c r="I209"/>
  <c r="J209"/>
  <c r="I210"/>
  <c r="J210"/>
  <c r="I211"/>
  <c r="J211"/>
  <c r="I212"/>
  <c r="J212"/>
  <c r="I213"/>
  <c r="I207"/>
  <c r="J207"/>
  <c r="H196"/>
  <c r="H208" s="1"/>
  <c r="H188"/>
  <c r="H200" s="1"/>
  <c r="G196"/>
  <c r="G208" s="1"/>
  <c r="G188"/>
  <c r="G199" s="1"/>
  <c r="F196"/>
  <c r="F208" s="1"/>
  <c r="F188"/>
  <c r="F200" s="1"/>
  <c r="E196"/>
  <c r="E208" s="1"/>
  <c r="E188"/>
  <c r="E199" s="1"/>
  <c r="D196"/>
  <c r="D208" s="1"/>
  <c r="D188"/>
  <c r="D200" s="1"/>
  <c r="C196"/>
  <c r="C208" s="1"/>
  <c r="C188"/>
  <c r="C199" s="1"/>
  <c r="C73" i="17" l="1"/>
  <c r="E14"/>
  <c r="D73"/>
  <c r="E73"/>
  <c r="M74" s="1"/>
  <c r="D67"/>
  <c r="C67"/>
  <c r="E67"/>
  <c r="K63"/>
  <c r="K52"/>
  <c r="K53" s="1"/>
  <c r="K34"/>
  <c r="K57"/>
  <c r="K61"/>
  <c r="K56"/>
  <c r="K60"/>
  <c r="K46"/>
  <c r="K50"/>
  <c r="K45"/>
  <c r="K49"/>
  <c r="K44"/>
  <c r="K42"/>
  <c r="K43" s="1"/>
  <c r="K55"/>
  <c r="K59"/>
  <c r="K54"/>
  <c r="K58"/>
  <c r="K48"/>
  <c r="K47"/>
  <c r="K51"/>
  <c r="D14"/>
  <c r="L13" s="1"/>
  <c r="L14" s="1"/>
  <c r="E79"/>
  <c r="M13"/>
  <c r="M14" s="1"/>
  <c r="K39"/>
  <c r="M39"/>
  <c r="L39"/>
  <c r="C79"/>
  <c r="D79"/>
  <c r="K35"/>
  <c r="K22"/>
  <c r="K23" s="1"/>
  <c r="J12"/>
  <c r="L17"/>
  <c r="L76"/>
  <c r="L77"/>
  <c r="J213" i="15"/>
  <c r="H199"/>
  <c r="F199"/>
  <c r="D199"/>
  <c r="G205"/>
  <c r="E205"/>
  <c r="C205"/>
  <c r="G204"/>
  <c r="E204"/>
  <c r="C204"/>
  <c r="G203"/>
  <c r="E203"/>
  <c r="C203"/>
  <c r="G202"/>
  <c r="E202"/>
  <c r="C202"/>
  <c r="G201"/>
  <c r="E201"/>
  <c r="C201"/>
  <c r="G200"/>
  <c r="E200"/>
  <c r="C200"/>
  <c r="H207"/>
  <c r="F207"/>
  <c r="D207"/>
  <c r="H213"/>
  <c r="F213"/>
  <c r="D213"/>
  <c r="H212"/>
  <c r="F212"/>
  <c r="D212"/>
  <c r="H211"/>
  <c r="F211"/>
  <c r="D211"/>
  <c r="H210"/>
  <c r="F210"/>
  <c r="D210"/>
  <c r="H209"/>
  <c r="F209"/>
  <c r="D209"/>
  <c r="H205"/>
  <c r="F205"/>
  <c r="D205"/>
  <c r="H204"/>
  <c r="F204"/>
  <c r="D204"/>
  <c r="H203"/>
  <c r="F203"/>
  <c r="D203"/>
  <c r="H202"/>
  <c r="F202"/>
  <c r="D202"/>
  <c r="H201"/>
  <c r="F201"/>
  <c r="D201"/>
  <c r="C207"/>
  <c r="G207"/>
  <c r="E207"/>
  <c r="G213"/>
  <c r="E213"/>
  <c r="C213"/>
  <c r="G212"/>
  <c r="E212"/>
  <c r="C212"/>
  <c r="G211"/>
  <c r="E211"/>
  <c r="C211"/>
  <c r="G210"/>
  <c r="E210"/>
  <c r="C210"/>
  <c r="G209"/>
  <c r="E209"/>
  <c r="C209"/>
  <c r="I188"/>
  <c r="I205" s="1"/>
  <c r="J188"/>
  <c r="J205" s="1"/>
  <c r="C166"/>
  <c r="D166"/>
  <c r="E166"/>
  <c r="F164"/>
  <c r="F163"/>
  <c r="G166"/>
  <c r="H166"/>
  <c r="I166"/>
  <c r="L20" i="17" l="1"/>
  <c r="L21"/>
  <c r="K75"/>
  <c r="M72"/>
  <c r="M73" s="1"/>
  <c r="K76"/>
  <c r="M77"/>
  <c r="L74"/>
  <c r="K72"/>
  <c r="K73" s="1"/>
  <c r="L72"/>
  <c r="L73" s="1"/>
  <c r="M76"/>
  <c r="L75"/>
  <c r="K74"/>
  <c r="K77"/>
  <c r="M75"/>
  <c r="L19"/>
  <c r="L15"/>
  <c r="L18"/>
  <c r="M20"/>
  <c r="M18"/>
  <c r="M16"/>
  <c r="M21"/>
  <c r="M19"/>
  <c r="L16"/>
  <c r="J63"/>
  <c r="J77"/>
  <c r="J75"/>
  <c r="J76"/>
  <c r="J74"/>
  <c r="K13"/>
  <c r="K14" s="1"/>
  <c r="J21"/>
  <c r="K20"/>
  <c r="J19"/>
  <c r="K18"/>
  <c r="J17"/>
  <c r="K16"/>
  <c r="J15"/>
  <c r="K21"/>
  <c r="J20"/>
  <c r="K19"/>
  <c r="M17"/>
  <c r="K15"/>
  <c r="J42"/>
  <c r="J43" s="1"/>
  <c r="J52"/>
  <c r="J53" s="1"/>
  <c r="J34"/>
  <c r="J35" s="1"/>
  <c r="J54"/>
  <c r="J58"/>
  <c r="J57"/>
  <c r="J61"/>
  <c r="J45"/>
  <c r="J49"/>
  <c r="J48"/>
  <c r="J56"/>
  <c r="J60"/>
  <c r="J55"/>
  <c r="J59"/>
  <c r="J47"/>
  <c r="J51"/>
  <c r="J44"/>
  <c r="J46"/>
  <c r="J50"/>
  <c r="K17"/>
  <c r="M15"/>
  <c r="K33"/>
  <c r="M28"/>
  <c r="M33"/>
  <c r="M41"/>
  <c r="M37"/>
  <c r="M36"/>
  <c r="M38"/>
  <c r="M40"/>
  <c r="K41"/>
  <c r="K37"/>
  <c r="K36"/>
  <c r="K38"/>
  <c r="K40"/>
  <c r="L28"/>
  <c r="L33"/>
  <c r="L36"/>
  <c r="L38"/>
  <c r="L40"/>
  <c r="L41"/>
  <c r="L37"/>
  <c r="J40"/>
  <c r="J38"/>
  <c r="J36"/>
  <c r="J41"/>
  <c r="J39"/>
  <c r="J37"/>
  <c r="J33"/>
  <c r="J32"/>
  <c r="J16"/>
  <c r="J28"/>
  <c r="J24"/>
  <c r="J29"/>
  <c r="J25"/>
  <c r="J22"/>
  <c r="J23" s="1"/>
  <c r="J30"/>
  <c r="J26"/>
  <c r="J31"/>
  <c r="J27"/>
  <c r="J18"/>
  <c r="J13"/>
  <c r="J14" s="1"/>
  <c r="J72"/>
  <c r="J73" s="1"/>
  <c r="I12"/>
  <c r="M24"/>
  <c r="K25"/>
  <c r="K26"/>
  <c r="K27"/>
  <c r="K29"/>
  <c r="K30"/>
  <c r="K31"/>
  <c r="K32"/>
  <c r="K28"/>
  <c r="K24"/>
  <c r="L25"/>
  <c r="L26"/>
  <c r="L27"/>
  <c r="L29"/>
  <c r="L30"/>
  <c r="L31"/>
  <c r="L32"/>
  <c r="M25"/>
  <c r="M26"/>
  <c r="M27"/>
  <c r="M29"/>
  <c r="M30"/>
  <c r="M31"/>
  <c r="M32"/>
  <c r="L24"/>
  <c r="I201" i="15"/>
  <c r="L94" i="17" s="1"/>
  <c r="M71"/>
  <c r="I71"/>
  <c r="L70"/>
  <c r="L71"/>
  <c r="K70"/>
  <c r="L69"/>
  <c r="K68"/>
  <c r="K66"/>
  <c r="K67" s="1"/>
  <c r="M69"/>
  <c r="I69"/>
  <c r="L68"/>
  <c r="J66"/>
  <c r="J67" s="1"/>
  <c r="K71"/>
  <c r="J70"/>
  <c r="J71"/>
  <c r="M70"/>
  <c r="J69"/>
  <c r="M68"/>
  <c r="I68"/>
  <c r="M66"/>
  <c r="M67" s="1"/>
  <c r="I66"/>
  <c r="I67" s="1"/>
  <c r="K69"/>
  <c r="J68"/>
  <c r="L66"/>
  <c r="L67" s="1"/>
  <c r="I200" i="15"/>
  <c r="I203"/>
  <c r="L96" i="17" s="1"/>
  <c r="I199" i="15"/>
  <c r="L93" i="17" s="1"/>
  <c r="I204" i="15"/>
  <c r="I202"/>
  <c r="L95" i="17" s="1"/>
  <c r="J201" i="15"/>
  <c r="M94" i="17" s="1"/>
  <c r="J204" i="15"/>
  <c r="J200"/>
  <c r="J203"/>
  <c r="M96" i="17" s="1"/>
  <c r="J199" i="15"/>
  <c r="M93" i="17" s="1"/>
  <c r="J202" i="15"/>
  <c r="M95" i="17" s="1"/>
  <c r="F166" i="15"/>
  <c r="I63" i="17" l="1"/>
  <c r="I70"/>
  <c r="I34"/>
  <c r="I35" s="1"/>
  <c r="I52"/>
  <c r="I53" s="1"/>
  <c r="I42"/>
  <c r="I43" s="1"/>
  <c r="I55"/>
  <c r="I59"/>
  <c r="I54"/>
  <c r="I58"/>
  <c r="I48"/>
  <c r="I47"/>
  <c r="I51"/>
  <c r="I57"/>
  <c r="I61"/>
  <c r="I56"/>
  <c r="I60"/>
  <c r="I46"/>
  <c r="I50"/>
  <c r="I45"/>
  <c r="I49"/>
  <c r="I44"/>
  <c r="I40"/>
  <c r="I38"/>
  <c r="I36"/>
  <c r="I41"/>
  <c r="I39"/>
  <c r="I37"/>
  <c r="I33"/>
  <c r="I32"/>
  <c r="I31"/>
  <c r="I27"/>
  <c r="I28"/>
  <c r="I24"/>
  <c r="I22"/>
  <c r="I23" s="1"/>
  <c r="I29"/>
  <c r="I25"/>
  <c r="I30"/>
  <c r="I26"/>
  <c r="I13"/>
  <c r="I14" s="1"/>
  <c r="H12"/>
  <c r="I74"/>
  <c r="I76"/>
  <c r="I72"/>
  <c r="I73" s="1"/>
  <c r="I15"/>
  <c r="I17"/>
  <c r="I19"/>
  <c r="I21"/>
  <c r="I16"/>
  <c r="I18"/>
  <c r="I20"/>
  <c r="I75"/>
  <c r="I77"/>
  <c r="H63" l="1"/>
  <c r="H52"/>
  <c r="H53" s="1"/>
  <c r="H34"/>
  <c r="H54"/>
  <c r="H56"/>
  <c r="H58"/>
  <c r="H60"/>
  <c r="H42"/>
  <c r="H43" s="1"/>
  <c r="H47"/>
  <c r="H51"/>
  <c r="H44"/>
  <c r="H46"/>
  <c r="H50"/>
  <c r="H55"/>
  <c r="H57"/>
  <c r="H59"/>
  <c r="H61"/>
  <c r="H45"/>
  <c r="H49"/>
  <c r="H48"/>
  <c r="H41"/>
  <c r="H39"/>
  <c r="H37"/>
  <c r="H40"/>
  <c r="H38"/>
  <c r="H36"/>
  <c r="H35"/>
  <c r="H33"/>
  <c r="H32"/>
  <c r="H30"/>
  <c r="H26"/>
  <c r="H31"/>
  <c r="H27"/>
  <c r="H28"/>
  <c r="H24"/>
  <c r="H29"/>
  <c r="H25"/>
  <c r="H22"/>
  <c r="H23" s="1"/>
  <c r="H16"/>
  <c r="H18"/>
  <c r="H20"/>
  <c r="H15"/>
  <c r="H17"/>
  <c r="H19"/>
  <c r="H21"/>
  <c r="H74"/>
  <c r="H76"/>
  <c r="H13"/>
  <c r="H14" s="1"/>
  <c r="H72"/>
  <c r="H73" s="1"/>
  <c r="H75"/>
  <c r="H77"/>
  <c r="G12"/>
  <c r="H66"/>
  <c r="H67" s="1"/>
  <c r="H70"/>
  <c r="H71"/>
  <c r="H69"/>
  <c r="H68"/>
  <c r="I81"/>
  <c r="M81"/>
  <c r="I80"/>
  <c r="M80"/>
  <c r="I78"/>
  <c r="I79" s="1"/>
  <c r="K78"/>
  <c r="K79" s="1"/>
  <c r="M78"/>
  <c r="M79" s="1"/>
  <c r="J81"/>
  <c r="J80"/>
  <c r="L80"/>
  <c r="H78"/>
  <c r="H79" s="1"/>
  <c r="L78"/>
  <c r="L79" s="1"/>
  <c r="H82"/>
  <c r="J82"/>
  <c r="L82"/>
  <c r="I83"/>
  <c r="K83"/>
  <c r="M83"/>
  <c r="H81"/>
  <c r="L81"/>
  <c r="H80"/>
  <c r="J78"/>
  <c r="J79" s="1"/>
  <c r="G63" l="1"/>
  <c r="F12"/>
  <c r="G52"/>
  <c r="G53" s="1"/>
  <c r="G34"/>
  <c r="G35" s="1"/>
  <c r="G42"/>
  <c r="G43" s="1"/>
  <c r="G54"/>
  <c r="G56"/>
  <c r="G58"/>
  <c r="G60"/>
  <c r="G46"/>
  <c r="G50"/>
  <c r="G45"/>
  <c r="G49"/>
  <c r="G44"/>
  <c r="G55"/>
  <c r="G57"/>
  <c r="G59"/>
  <c r="G61"/>
  <c r="G48"/>
  <c r="G47"/>
  <c r="G51"/>
  <c r="G41"/>
  <c r="G39"/>
  <c r="G37"/>
  <c r="G40"/>
  <c r="G38"/>
  <c r="G36"/>
  <c r="G33"/>
  <c r="G32"/>
  <c r="G29"/>
  <c r="G25"/>
  <c r="G30"/>
  <c r="G26"/>
  <c r="G31"/>
  <c r="G27"/>
  <c r="G28"/>
  <c r="G24"/>
  <c r="G22"/>
  <c r="G23" s="1"/>
  <c r="G83"/>
  <c r="G82"/>
  <c r="G71"/>
  <c r="G70"/>
  <c r="G68"/>
  <c r="G66"/>
  <c r="G67" s="1"/>
  <c r="G69"/>
  <c r="G17"/>
  <c r="G21"/>
  <c r="G18"/>
  <c r="G75"/>
  <c r="G13"/>
  <c r="G14" s="1"/>
  <c r="G74"/>
  <c r="G15"/>
  <c r="G19"/>
  <c r="G16"/>
  <c r="G20"/>
  <c r="G76"/>
  <c r="G77"/>
  <c r="G72"/>
  <c r="G73" s="1"/>
  <c r="J83"/>
  <c r="M82"/>
  <c r="I82"/>
  <c r="G78"/>
  <c r="G79" s="1"/>
  <c r="K80"/>
  <c r="G80"/>
  <c r="K81"/>
  <c r="G81"/>
  <c r="L83"/>
  <c r="H83"/>
  <c r="K82"/>
  <c r="F63" l="1"/>
  <c r="F66"/>
  <c r="F67" s="1"/>
  <c r="F52"/>
  <c r="F53" s="1"/>
  <c r="F42"/>
  <c r="F43" s="1"/>
  <c r="F34"/>
  <c r="F35" s="1"/>
  <c r="F58"/>
  <c r="F60"/>
  <c r="F51"/>
  <c r="F55"/>
  <c r="F47"/>
  <c r="F48"/>
  <c r="F57"/>
  <c r="F54"/>
  <c r="F56"/>
  <c r="F59"/>
  <c r="F61"/>
  <c r="F49"/>
  <c r="F45"/>
  <c r="F44"/>
  <c r="F50"/>
  <c r="F46"/>
  <c r="F68"/>
  <c r="F22"/>
  <c r="F23" s="1"/>
  <c r="F37"/>
  <c r="F38"/>
  <c r="F39"/>
  <c r="F41"/>
  <c r="F36"/>
  <c r="F40"/>
  <c r="F33"/>
  <c r="F32"/>
  <c r="F28"/>
  <c r="F25"/>
  <c r="F29"/>
  <c r="F26"/>
  <c r="F30"/>
  <c r="F24"/>
  <c r="F27"/>
  <c r="F31"/>
  <c r="F18"/>
  <c r="F15"/>
  <c r="F19"/>
  <c r="F75"/>
  <c r="F13"/>
  <c r="F14" s="1"/>
  <c r="F74"/>
  <c r="F69"/>
  <c r="F71"/>
  <c r="F83"/>
  <c r="F78"/>
  <c r="F79" s="1"/>
  <c r="F80"/>
  <c r="F16"/>
  <c r="F20"/>
  <c r="F17"/>
  <c r="F21"/>
  <c r="F76"/>
  <c r="F77"/>
  <c r="F72"/>
  <c r="F73" s="1"/>
  <c r="F70"/>
  <c r="F81"/>
  <c r="F82"/>
</calcChain>
</file>

<file path=xl/sharedStrings.xml><?xml version="1.0" encoding="utf-8"?>
<sst xmlns="http://schemas.openxmlformats.org/spreadsheetml/2006/main" count="435" uniqueCount="233">
  <si>
    <t>Doctoral</t>
  </si>
  <si>
    <t>Law</t>
  </si>
  <si>
    <t>CAPA</t>
  </si>
  <si>
    <t>American Indian / Alaska Native</t>
  </si>
  <si>
    <t>African American</t>
  </si>
  <si>
    <t>Caucasian</t>
  </si>
  <si>
    <t>Other</t>
  </si>
  <si>
    <t>International</t>
  </si>
  <si>
    <t>Total</t>
  </si>
  <si>
    <t>Male</t>
  </si>
  <si>
    <t>Female</t>
  </si>
  <si>
    <t>Not Reported</t>
  </si>
  <si>
    <t>Applied</t>
  </si>
  <si>
    <t>Accepted</t>
  </si>
  <si>
    <t>Acceptance Rate</t>
  </si>
  <si>
    <t>Enrolled</t>
  </si>
  <si>
    <t>Yield Rate</t>
  </si>
  <si>
    <t>Assets</t>
  </si>
  <si>
    <t>2003-04</t>
  </si>
  <si>
    <t>2004-05</t>
  </si>
  <si>
    <t>2005-06</t>
  </si>
  <si>
    <t>2006-07</t>
  </si>
  <si>
    <t>2007-08</t>
  </si>
  <si>
    <t>Current Assets</t>
  </si>
  <si>
    <t>Property, plant and equipment:</t>
  </si>
  <si>
    <t xml:space="preserve">     Land</t>
  </si>
  <si>
    <t xml:space="preserve">     Buildings and improvements</t>
  </si>
  <si>
    <t xml:space="preserve">     Equipment</t>
  </si>
  <si>
    <t xml:space="preserve">     Asset Retirement capitalized costs</t>
  </si>
  <si>
    <t xml:space="preserve">     Construction in progress</t>
  </si>
  <si>
    <t xml:space="preserve">     Less: Accumulated depreciation</t>
  </si>
  <si>
    <t xml:space="preserve">          Total property, plant and equipment</t>
  </si>
  <si>
    <t xml:space="preserve">             Total assets</t>
  </si>
  <si>
    <t>Liabilities and Net Assets</t>
  </si>
  <si>
    <t>Liabilities</t>
  </si>
  <si>
    <t>Net Assets</t>
  </si>
  <si>
    <t xml:space="preserve">          Total liabilities and net assets</t>
  </si>
  <si>
    <t>Student Grants</t>
  </si>
  <si>
    <t xml:space="preserve">     Pell grants</t>
  </si>
  <si>
    <t xml:space="preserve">     Other federal grants</t>
  </si>
  <si>
    <t xml:space="preserve">     State grants</t>
  </si>
  <si>
    <t xml:space="preserve">     Funded institutional grants</t>
  </si>
  <si>
    <t xml:space="preserve">     Unfunded institutional grants</t>
  </si>
  <si>
    <t xml:space="preserve">          Total student grants</t>
  </si>
  <si>
    <t>Sources of Funds</t>
  </si>
  <si>
    <t xml:space="preserve">     Student tuition and fees</t>
  </si>
  <si>
    <t xml:space="preserve">     Less: Student financial aid</t>
  </si>
  <si>
    <t xml:space="preserve">          Net student tuition and fees</t>
  </si>
  <si>
    <t xml:space="preserve">     Private gifts and grants</t>
  </si>
  <si>
    <t xml:space="preserve">     Government grants (Federal and State)</t>
  </si>
  <si>
    <t xml:space="preserve">     Sponsored programs</t>
  </si>
  <si>
    <t xml:space="preserve">     Investment income</t>
  </si>
  <si>
    <t xml:space="preserve">     Auxiliary enterprises</t>
  </si>
  <si>
    <t xml:space="preserve">     Annuity and trust gifts</t>
  </si>
  <si>
    <t xml:space="preserve">     Premiums earned</t>
  </si>
  <si>
    <t xml:space="preserve">     Other</t>
  </si>
  <si>
    <t xml:space="preserve">               Total revenues</t>
  </si>
  <si>
    <t>Expenses</t>
  </si>
  <si>
    <t>Change in Net Assets</t>
  </si>
  <si>
    <t>Net assets at beginning of year</t>
  </si>
  <si>
    <t>Net assets at end of year</t>
  </si>
  <si>
    <t>Freshman</t>
  </si>
  <si>
    <t>Sophomore</t>
  </si>
  <si>
    <t>Junior</t>
  </si>
  <si>
    <t>Senior</t>
  </si>
  <si>
    <t>2003-2004</t>
  </si>
  <si>
    <t>2004-2005</t>
  </si>
  <si>
    <t>2005-2006</t>
  </si>
  <si>
    <t>2006-2007</t>
  </si>
  <si>
    <t>2007-2008</t>
  </si>
  <si>
    <t>Associate</t>
  </si>
  <si>
    <t>Bachelors</t>
  </si>
  <si>
    <t>Masters</t>
  </si>
  <si>
    <t>Enrollment</t>
  </si>
  <si>
    <t>Retention</t>
  </si>
  <si>
    <t>Graduation Rate</t>
  </si>
  <si>
    <t>Retention Rate</t>
  </si>
  <si>
    <t>New Enrollment</t>
  </si>
  <si>
    <t>01</t>
  </si>
  <si>
    <t>02</t>
  </si>
  <si>
    <t>03</t>
  </si>
  <si>
    <t>04</t>
  </si>
  <si>
    <t>Graduation</t>
  </si>
  <si>
    <t>MC UG</t>
  </si>
  <si>
    <t>MC GR</t>
  </si>
  <si>
    <t>Revenue</t>
  </si>
  <si>
    <t>GPA Mean: Fall</t>
  </si>
  <si>
    <t>Master</t>
  </si>
  <si>
    <t>MC Transfers</t>
  </si>
  <si>
    <t>MC First-Time Freshman Graduation Rate: Fall</t>
  </si>
  <si>
    <t>Degree Awarded: Academic Year</t>
  </si>
  <si>
    <t>2000-2001</t>
  </si>
  <si>
    <t>2001-2002</t>
  </si>
  <si>
    <t>2002-2003</t>
  </si>
  <si>
    <t>Overall</t>
  </si>
  <si>
    <t>Student Enrollment: Fall</t>
  </si>
  <si>
    <t>05</t>
  </si>
  <si>
    <t>06</t>
  </si>
  <si>
    <t>07</t>
  </si>
  <si>
    <t>08</t>
  </si>
  <si>
    <t>International Student: Fall</t>
  </si>
  <si>
    <t>GPA and SAT: Fall First-Time Full-Time Traditional-Age Main Campus Freshman</t>
  </si>
  <si>
    <t>Finance, Income Statement: Fiscal Year</t>
  </si>
  <si>
    <t>Finance, Balance Sheet: Fiscal Year</t>
  </si>
  <si>
    <t>FINANCE</t>
  </si>
  <si>
    <t>ADMISSIONS</t>
  </si>
  <si>
    <t>ENROLLMENT</t>
  </si>
  <si>
    <t>PERFORMANCE</t>
  </si>
  <si>
    <t>American Indian/Alaskan Native</t>
  </si>
  <si>
    <t>Asian/Pacific Islander</t>
  </si>
  <si>
    <t>Hispanic</t>
  </si>
  <si>
    <t>White, non-Hispanic</t>
  </si>
  <si>
    <t>Unknown/Other</t>
  </si>
  <si>
    <t>FACULTY &amp; STAFF</t>
  </si>
  <si>
    <t>Faculty Ethnicity</t>
  </si>
  <si>
    <t>Staff Ethnicity</t>
  </si>
  <si>
    <t>Faculty Ethnicity: Full-Time</t>
  </si>
  <si>
    <t>Staff Ethnicity: Full-Time</t>
  </si>
  <si>
    <t>University of La Verne</t>
  </si>
  <si>
    <t>Data Points</t>
  </si>
  <si>
    <t>Select Number of Data Points</t>
  </si>
  <si>
    <t>Graph Number</t>
  </si>
  <si>
    <t>Data Field</t>
  </si>
  <si>
    <t>Num of Years</t>
  </si>
  <si>
    <t>First Year</t>
  </si>
  <si>
    <t>Last Year</t>
  </si>
  <si>
    <t>JD</t>
  </si>
  <si>
    <t>GPA</t>
  </si>
  <si>
    <t>Overall GPA: Fall</t>
  </si>
  <si>
    <t>Undergraduate Retention Rate: Fall Cohort</t>
  </si>
  <si>
    <t>MC Freshman</t>
  </si>
  <si>
    <t>Source: Fact Book</t>
  </si>
  <si>
    <t>RCA</t>
  </si>
  <si>
    <t>Source: Track Model, RCA, all undergraduate students.</t>
  </si>
  <si>
    <t xml:space="preserve">Source: Fact Book, Main Campus, full-Time. Freshman is first-time. </t>
  </si>
  <si>
    <t>Note: The cohort of year-4, 2001 is 1997 cohort. Fact Book.</t>
  </si>
  <si>
    <t>Note: The cohort of year-6, 2001 is 1995 cohort. Fact Book.</t>
  </si>
  <si>
    <t>Fall-to-Fall Retention of Prior Year's Fall Cohort</t>
  </si>
  <si>
    <t>Graduation of Prior 4th or 6th Year's Fall Cohort</t>
  </si>
  <si>
    <t>MC Freshman 4YR</t>
  </si>
  <si>
    <t>MC Freshman 6YR</t>
  </si>
  <si>
    <t>MC Transfer 4YR</t>
  </si>
  <si>
    <t>MC Transfers 6YR</t>
  </si>
  <si>
    <t>Office of Institutional Research, University of La Verne</t>
  </si>
  <si>
    <t>Applicants</t>
  </si>
  <si>
    <t>Admissions &amp; New Students</t>
  </si>
  <si>
    <t>Retention, Graduation, &amp; Student GPA</t>
  </si>
  <si>
    <t>Student &amp; Employee Diversity</t>
  </si>
  <si>
    <t>Revenues</t>
  </si>
  <si>
    <t>New Students</t>
  </si>
  <si>
    <t>Freshman GPA &amp; SAT</t>
  </si>
  <si>
    <t>Ethnicity: Faculty &amp; Staff</t>
  </si>
  <si>
    <t>Ethnicity: Students</t>
  </si>
  <si>
    <t>Gender: Students &amp; Employees</t>
  </si>
  <si>
    <t>Note: Exclude PDC, Fact Book.</t>
  </si>
  <si>
    <t>a</t>
  </si>
  <si>
    <t>b</t>
  </si>
  <si>
    <t>c</t>
  </si>
  <si>
    <t>d</t>
  </si>
  <si>
    <t>e</t>
  </si>
  <si>
    <t>f</t>
  </si>
  <si>
    <t>g</t>
  </si>
  <si>
    <t xml:space="preserve"> </t>
  </si>
  <si>
    <t>Dashboard</t>
  </si>
  <si>
    <t>2002-03</t>
  </si>
  <si>
    <t>Student tuition and fees</t>
  </si>
  <si>
    <t>Net tuition &amp; fees</t>
  </si>
  <si>
    <t>Private gifts and grants</t>
  </si>
  <si>
    <t>Government grants</t>
  </si>
  <si>
    <t>Sponsored programs</t>
  </si>
  <si>
    <t>Investment income</t>
  </si>
  <si>
    <t>Auxiliary enterprises</t>
  </si>
  <si>
    <t>Annuity and trust gifts</t>
  </si>
  <si>
    <t>Premiums earned</t>
  </si>
  <si>
    <t>Total revenues</t>
  </si>
  <si>
    <t>Expense</t>
  </si>
  <si>
    <t>Total expenses</t>
  </si>
  <si>
    <t>Instruction</t>
  </si>
  <si>
    <t>Academic support</t>
  </si>
  <si>
    <t>Student services</t>
  </si>
  <si>
    <t>Institutional support</t>
  </si>
  <si>
    <t>Fall First-Time Full-Time Traditional-Age Main Campus Freshman</t>
  </si>
  <si>
    <t>FTFT Freshman</t>
  </si>
  <si>
    <t>RCA Transfers</t>
  </si>
  <si>
    <t>MC Masters</t>
  </si>
  <si>
    <t>RCA Masters</t>
  </si>
  <si>
    <t>Fact Book</t>
  </si>
  <si>
    <t>Census: using crosstab for F &amp; G</t>
  </si>
  <si>
    <t>h</t>
  </si>
  <si>
    <t>Fall Census; Secondary Axis (Other of total Enroll, %)</t>
  </si>
  <si>
    <t>Fiscal Year; Secondary Axis (Total Revenue, $)</t>
  </si>
  <si>
    <t>Fall Census; Secondary Axis (Freshman)</t>
  </si>
  <si>
    <t>Dashboard!A1</t>
  </si>
  <si>
    <t>Freshman GPA &amp;SAT</t>
  </si>
  <si>
    <t>SAT</t>
  </si>
  <si>
    <t>Fall Census; Secondary Axis (GPA)</t>
  </si>
  <si>
    <t>Student Gender: Fall</t>
  </si>
  <si>
    <t>Student Ethnicity: Fall</t>
  </si>
  <si>
    <t>Faculty Gender: Fall</t>
  </si>
  <si>
    <t>Staff Gender: Fall</t>
  </si>
  <si>
    <t>2001-02</t>
  </si>
  <si>
    <t>DIVERSITY</t>
  </si>
  <si>
    <t>Student Ethnicity</t>
  </si>
  <si>
    <t>Black</t>
  </si>
  <si>
    <t>Asian</t>
  </si>
  <si>
    <t>Other/Unknown</t>
  </si>
  <si>
    <t>Employee Ethnicity</t>
  </si>
  <si>
    <t>Black-Faculty</t>
  </si>
  <si>
    <t>Asian-Faculty</t>
  </si>
  <si>
    <t>Hispanic Faculty</t>
  </si>
  <si>
    <t>Black-Staff</t>
  </si>
  <si>
    <t>Asian-Staff</t>
  </si>
  <si>
    <t>Hispanic-Staff</t>
  </si>
  <si>
    <t>Caucasian-Faculty</t>
  </si>
  <si>
    <t>Caucasian-Staff</t>
  </si>
  <si>
    <t>Student Ethnicity: Fall Census</t>
  </si>
  <si>
    <t>Employee Ethnicity: Fall Census</t>
  </si>
  <si>
    <t>Student</t>
  </si>
  <si>
    <t>Faculty</t>
  </si>
  <si>
    <t>Staff</t>
  </si>
  <si>
    <t>Gender: Female %</t>
  </si>
  <si>
    <t>Gender: Female % of Total; Fall Census</t>
  </si>
  <si>
    <t>Dashboard: Performance Indicators</t>
  </si>
  <si>
    <r>
      <rPr>
        <b/>
        <i/>
        <sz val="11"/>
        <color theme="1"/>
        <rFont val="Calibri"/>
        <family val="2"/>
        <scheme val="minor"/>
      </rPr>
      <t xml:space="preserve">Source: </t>
    </r>
    <r>
      <rPr>
        <i/>
        <sz val="11"/>
        <color theme="1"/>
        <rFont val="Calibri"/>
        <family val="2"/>
        <scheme val="minor"/>
      </rPr>
      <t xml:space="preserve">University Census, Office of Institutional Research. </t>
    </r>
  </si>
  <si>
    <r>
      <rPr>
        <b/>
        <i/>
        <sz val="11"/>
        <color theme="1"/>
        <rFont val="Calibri"/>
        <family val="2"/>
        <scheme val="minor"/>
      </rPr>
      <t xml:space="preserve">Note: </t>
    </r>
    <r>
      <rPr>
        <i/>
        <sz val="11"/>
        <color theme="1"/>
        <rFont val="Calibri"/>
        <family val="2"/>
        <scheme val="minor"/>
      </rPr>
      <t>According to Grade Inflation Study (http://gradeinflation.com/), undergraduate GPA is 3.30 in private schools and 3.11 in all schools.</t>
    </r>
  </si>
  <si>
    <t>RCA &amp; Other</t>
  </si>
  <si>
    <r>
      <rPr>
        <b/>
        <i/>
        <sz val="11"/>
        <color theme="1"/>
        <rFont val="Calibri"/>
        <family val="2"/>
        <scheme val="minor"/>
      </rPr>
      <t>Note</t>
    </r>
    <r>
      <rPr>
        <i/>
        <sz val="11"/>
        <color theme="1"/>
        <rFont val="Calibri"/>
        <family val="2"/>
        <scheme val="minor"/>
      </rPr>
      <t>: Other includes students of Ecumenical Centers, EPIC, Cal Poly Clad, Athens, and campus not-designated.</t>
    </r>
  </si>
  <si>
    <r>
      <rPr>
        <b/>
        <i/>
        <sz val="11"/>
        <color theme="1"/>
        <rFont val="Calibri"/>
        <family val="2"/>
        <scheme val="minor"/>
      </rPr>
      <t>Source:</t>
    </r>
    <r>
      <rPr>
        <i/>
        <sz val="11"/>
        <color theme="1"/>
        <rFont val="Calibri"/>
        <family val="2"/>
        <scheme val="minor"/>
      </rPr>
      <t xml:space="preserve"> University Census, Office of Institutional Research.</t>
    </r>
  </si>
  <si>
    <r>
      <rPr>
        <b/>
        <i/>
        <sz val="11"/>
        <color theme="1"/>
        <rFont val="Calibri"/>
        <family val="2"/>
        <scheme val="minor"/>
      </rPr>
      <t>Source</t>
    </r>
    <r>
      <rPr>
        <i/>
        <sz val="11"/>
        <color theme="1"/>
        <rFont val="Calibri"/>
        <family val="2"/>
        <scheme val="minor"/>
      </rPr>
      <t>: Audited Financial Statement, Fact Book.</t>
    </r>
  </si>
  <si>
    <r>
      <rPr>
        <b/>
        <i/>
        <sz val="11"/>
        <color theme="1"/>
        <rFont val="Calibri"/>
        <family val="2"/>
        <scheme val="minor"/>
      </rPr>
      <t>Note</t>
    </r>
    <r>
      <rPr>
        <i/>
        <sz val="11"/>
        <color theme="1"/>
        <rFont val="Calibri"/>
        <family val="2"/>
        <scheme val="minor"/>
      </rPr>
      <t>: In 2007, the average retention rate for full-time freshman of La Verne's peer institutions was 86%. IPEDS Feedback Report, 2008.</t>
    </r>
  </si>
  <si>
    <r>
      <rPr>
        <b/>
        <i/>
        <sz val="11"/>
        <color theme="1"/>
        <rFont val="Calibri"/>
        <family val="2"/>
        <scheme val="minor"/>
      </rPr>
      <t>Note</t>
    </r>
    <r>
      <rPr>
        <i/>
        <sz val="11"/>
        <color theme="1"/>
        <rFont val="Calibri"/>
        <family val="2"/>
        <scheme val="minor"/>
      </rPr>
      <t>: In 2007, The average 6-year graduation rate for freshman of La Verne's peer institutions was 68%. IPEDS Feedback Report, 2008.</t>
    </r>
  </si>
  <si>
    <t>Enrollment, Revenues &amp; Expenses</t>
  </si>
  <si>
    <t>October 2009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</si>
</sst>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&quot;$&quot;#,##0"/>
    <numFmt numFmtId="167" formatCode="#,##0.00;[Red]\(#,##0.00\)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0"/>
      <color indexed="12"/>
      <name val="Verdana"/>
      <family val="2"/>
    </font>
    <font>
      <sz val="10"/>
      <name val="Verdana"/>
      <family val="2"/>
    </font>
    <font>
      <b/>
      <sz val="10"/>
      <color indexed="9"/>
      <name val="Arial"/>
      <family val="2"/>
    </font>
    <font>
      <u/>
      <sz val="10.25"/>
      <color theme="1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u val="singleAccounting"/>
      <sz val="10"/>
      <name val="Arial"/>
      <family val="2"/>
    </font>
    <font>
      <u val="singleAccounting"/>
      <sz val="10"/>
      <name val="Arial"/>
      <family val="2"/>
    </font>
    <font>
      <sz val="10"/>
      <color indexed="60"/>
      <name val="Arial Unicode MS"/>
      <family val="2"/>
    </font>
    <font>
      <b/>
      <sz val="24"/>
      <color indexed="60"/>
      <name val="Bodoni MT Condensed"/>
      <family val="1"/>
    </font>
    <font>
      <sz val="8"/>
      <name val="Franklin Gothic Demi"/>
      <family val="2"/>
    </font>
    <font>
      <sz val="7"/>
      <name val="Arial"/>
      <family val="2"/>
    </font>
    <font>
      <sz val="9"/>
      <color indexed="3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b/>
      <i/>
      <sz val="14"/>
      <color theme="0"/>
      <name val="Arial"/>
      <family val="2"/>
    </font>
    <font>
      <b/>
      <sz val="16"/>
      <color rgb="FF009900"/>
      <name val="Arial Unicode MS"/>
      <family val="2"/>
    </font>
    <font>
      <b/>
      <sz val="10"/>
      <color rgb="FF009900"/>
      <name val="Arial Unicode MS"/>
      <family val="2"/>
    </font>
    <font>
      <b/>
      <sz val="12"/>
      <color rgb="FFFF0000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4"/>
      <color rgb="FF00B050"/>
      <name val="Franklin Gothic Book"/>
      <family val="2"/>
    </font>
    <font>
      <sz val="12"/>
      <color indexed="60"/>
      <name val="Arial Unicode MS"/>
      <family val="2"/>
    </font>
    <font>
      <sz val="12"/>
      <name val="Franklin Gothic Demi"/>
      <family val="2"/>
    </font>
    <font>
      <sz val="11"/>
      <name val="Franklin Gothic Demi"/>
      <family val="2"/>
    </font>
    <font>
      <b/>
      <u/>
      <sz val="12"/>
      <color theme="10"/>
      <name val="Calibri"/>
      <family val="2"/>
    </font>
    <font>
      <b/>
      <sz val="13"/>
      <color theme="9" tint="-0.249977111117893"/>
      <name val="Franklin Gothic Book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rgb="FF0099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0" fillId="7" borderId="0">
      <alignment horizontal="left"/>
    </xf>
    <xf numFmtId="0" fontId="24" fillId="7" borderId="0">
      <alignment horizontal="right"/>
    </xf>
    <xf numFmtId="0" fontId="25" fillId="8" borderId="0">
      <alignment horizontal="center"/>
    </xf>
    <xf numFmtId="0" fontId="24" fillId="7" borderId="0">
      <alignment horizontal="right"/>
    </xf>
    <xf numFmtId="0" fontId="26" fillId="8" borderId="0">
      <alignment horizontal="left"/>
    </xf>
    <xf numFmtId="0" fontId="10" fillId="7" borderId="0">
      <alignment horizontal="left"/>
    </xf>
    <xf numFmtId="0" fontId="27" fillId="8" borderId="0">
      <alignment horizontal="left"/>
    </xf>
    <xf numFmtId="167" fontId="14" fillId="8" borderId="0">
      <alignment horizontal="right"/>
    </xf>
    <xf numFmtId="0" fontId="28" fillId="9" borderId="0">
      <alignment horizontal="center"/>
    </xf>
    <xf numFmtId="0" fontId="10" fillId="10" borderId="0"/>
    <xf numFmtId="0" fontId="29" fillId="8" borderId="0" applyBorder="0">
      <alignment horizontal="centerContinuous"/>
    </xf>
    <xf numFmtId="0" fontId="30" fillId="10" borderId="0" applyBorder="0">
      <alignment horizontal="centerContinuous"/>
    </xf>
    <xf numFmtId="0" fontId="27" fillId="11" borderId="0">
      <alignment horizontal="center"/>
    </xf>
    <xf numFmtId="49" fontId="31" fillId="8" borderId="0">
      <alignment horizontal="center"/>
    </xf>
    <xf numFmtId="0" fontId="24" fillId="7" borderId="0">
      <alignment horizontal="center"/>
    </xf>
    <xf numFmtId="0" fontId="24" fillId="7" borderId="0">
      <alignment horizontal="centerContinuous"/>
    </xf>
    <xf numFmtId="0" fontId="32" fillId="8" borderId="0">
      <alignment horizontal="left"/>
    </xf>
    <xf numFmtId="49" fontId="32" fillId="8" borderId="0">
      <alignment horizontal="center"/>
    </xf>
    <xf numFmtId="0" fontId="10" fillId="7" borderId="0">
      <alignment horizontal="left"/>
    </xf>
    <xf numFmtId="49" fontId="32" fillId="8" borderId="0">
      <alignment horizontal="left"/>
    </xf>
    <xf numFmtId="0" fontId="10" fillId="7" borderId="0">
      <alignment horizontal="centerContinuous"/>
    </xf>
    <xf numFmtId="0" fontId="10" fillId="7" borderId="0">
      <alignment horizontal="right"/>
    </xf>
    <xf numFmtId="49" fontId="27" fillId="8" borderId="0">
      <alignment horizontal="left"/>
    </xf>
    <xf numFmtId="0" fontId="24" fillId="7" borderId="0">
      <alignment horizontal="right"/>
    </xf>
    <xf numFmtId="0" fontId="32" fillId="12" borderId="0">
      <alignment horizontal="center"/>
    </xf>
    <xf numFmtId="0" fontId="33" fillId="12" borderId="0">
      <alignment horizontal="center"/>
    </xf>
    <xf numFmtId="0" fontId="34" fillId="8" borderId="0">
      <alignment horizontal="center"/>
    </xf>
  </cellStyleXfs>
  <cellXfs count="177">
    <xf numFmtId="0" fontId="0" fillId="0" borderId="0" xfId="0"/>
    <xf numFmtId="0" fontId="0" fillId="0" borderId="0" xfId="0" applyAlignment="1">
      <alignment horizontal="center"/>
    </xf>
    <xf numFmtId="0" fontId="3" fillId="2" borderId="1" xfId="6" applyFont="1" applyFill="1" applyBorder="1"/>
    <xf numFmtId="0" fontId="4" fillId="0" borderId="0" xfId="6" applyFont="1" applyBorder="1"/>
    <xf numFmtId="0" fontId="3" fillId="4" borderId="0" xfId="6" applyFont="1" applyFill="1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6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right"/>
    </xf>
    <xf numFmtId="2" fontId="3" fillId="0" borderId="0" xfId="0" quotePrefix="1" applyNumberFormat="1" applyFont="1" applyAlignment="1">
      <alignment horizontal="right"/>
    </xf>
    <xf numFmtId="0" fontId="12" fillId="5" borderId="0" xfId="0" applyFont="1" applyFill="1"/>
    <xf numFmtId="49" fontId="12" fillId="5" borderId="0" xfId="0" applyNumberFormat="1" applyFont="1" applyFill="1" applyAlignment="1">
      <alignment horizontal="right"/>
    </xf>
    <xf numFmtId="49" fontId="13" fillId="5" borderId="0" xfId="0" applyNumberFormat="1" applyFont="1" applyFill="1" applyAlignment="1">
      <alignment horizontal="right"/>
    </xf>
    <xf numFmtId="0" fontId="13" fillId="0" borderId="0" xfId="0" applyFont="1"/>
    <xf numFmtId="0" fontId="12" fillId="6" borderId="0" xfId="0" applyFont="1" applyFill="1"/>
    <xf numFmtId="49" fontId="12" fillId="6" borderId="0" xfId="0" applyNumberFormat="1" applyFont="1" applyFill="1" applyAlignment="1">
      <alignment horizontal="right"/>
    </xf>
    <xf numFmtId="49" fontId="13" fillId="6" borderId="0" xfId="0" applyNumberFormat="1" applyFont="1" applyFill="1" applyAlignment="1">
      <alignment horizontal="right"/>
    </xf>
    <xf numFmtId="0" fontId="12" fillId="5" borderId="0" xfId="0" applyFont="1" applyFill="1" applyAlignment="1">
      <alignment horizontal="right"/>
    </xf>
    <xf numFmtId="0" fontId="13" fillId="5" borderId="0" xfId="0" applyFont="1" applyFill="1" applyAlignment="1">
      <alignment horizontal="right"/>
    </xf>
    <xf numFmtId="0" fontId="13" fillId="0" borderId="0" xfId="0" applyFont="1" applyAlignment="1">
      <alignment vertical="distributed"/>
    </xf>
    <xf numFmtId="0" fontId="4" fillId="0" borderId="0" xfId="6" applyFont="1" applyBorder="1" applyAlignment="1">
      <alignment horizontal="right"/>
    </xf>
    <xf numFmtId="0" fontId="4" fillId="4" borderId="0" xfId="6" applyFont="1" applyFill="1" applyBorder="1" applyAlignment="1">
      <alignment horizontal="right"/>
    </xf>
    <xf numFmtId="0" fontId="4" fillId="0" borderId="2" xfId="6" applyFont="1" applyBorder="1" applyAlignment="1">
      <alignment horizontal="right"/>
    </xf>
    <xf numFmtId="0" fontId="13" fillId="5" borderId="0" xfId="0" applyFont="1" applyFill="1"/>
    <xf numFmtId="0" fontId="13" fillId="4" borderId="0" xfId="0" applyFont="1" applyFill="1" applyAlignment="1">
      <alignment horizontal="right"/>
    </xf>
    <xf numFmtId="164" fontId="13" fillId="4" borderId="0" xfId="1" applyNumberFormat="1" applyFont="1" applyFill="1" applyAlignment="1">
      <alignment horizontal="right"/>
    </xf>
    <xf numFmtId="0" fontId="13" fillId="0" borderId="0" xfId="0" applyFont="1" applyAlignment="1">
      <alignment horizontal="right"/>
    </xf>
    <xf numFmtId="164" fontId="13" fillId="0" borderId="0" xfId="1" applyNumberFormat="1" applyFont="1" applyAlignment="1">
      <alignment horizontal="right"/>
    </xf>
    <xf numFmtId="0" fontId="4" fillId="0" borderId="0" xfId="6" applyFont="1" applyAlignment="1">
      <alignment horizontal="right"/>
    </xf>
    <xf numFmtId="0" fontId="4" fillId="4" borderId="0" xfId="6" applyFont="1" applyFill="1" applyAlignment="1">
      <alignment horizontal="right"/>
    </xf>
    <xf numFmtId="0" fontId="13" fillId="0" borderId="2" xfId="0" applyFont="1" applyBorder="1" applyAlignment="1">
      <alignment horizontal="right"/>
    </xf>
    <xf numFmtId="0" fontId="4" fillId="0" borderId="0" xfId="2" applyFont="1" applyAlignment="1">
      <alignment horizontal="right"/>
    </xf>
    <xf numFmtId="0" fontId="4" fillId="0" borderId="0" xfId="2" applyFont="1"/>
    <xf numFmtId="164" fontId="4" fillId="0" borderId="0" xfId="1" applyNumberFormat="1" applyFont="1" applyAlignment="1">
      <alignment horizontal="right"/>
    </xf>
    <xf numFmtId="0" fontId="4" fillId="4" borderId="0" xfId="2" applyFont="1" applyFill="1" applyBorder="1"/>
    <xf numFmtId="164" fontId="4" fillId="4" borderId="0" xfId="1" applyNumberFormat="1" applyFont="1" applyFill="1" applyAlignment="1">
      <alignment horizontal="right"/>
    </xf>
    <xf numFmtId="0" fontId="4" fillId="0" borderId="2" xfId="2" applyFont="1" applyBorder="1"/>
    <xf numFmtId="164" fontId="4" fillId="0" borderId="2" xfId="1" applyNumberFormat="1" applyFont="1" applyBorder="1" applyAlignment="1">
      <alignment horizontal="right"/>
    </xf>
    <xf numFmtId="0" fontId="3" fillId="0" borderId="0" xfId="2" applyFont="1"/>
    <xf numFmtId="164" fontId="3" fillId="0" borderId="0" xfId="1" applyNumberFormat="1" applyFont="1" applyAlignment="1">
      <alignment horizontal="right"/>
    </xf>
    <xf numFmtId="0" fontId="4" fillId="4" borderId="0" xfId="2" applyFont="1" applyFill="1"/>
    <xf numFmtId="165" fontId="4" fillId="0" borderId="0" xfId="9" applyNumberFormat="1" applyFont="1" applyAlignment="1">
      <alignment horizontal="right"/>
    </xf>
    <xf numFmtId="165" fontId="13" fillId="0" borderId="0" xfId="9" applyNumberFormat="1" applyFont="1" applyAlignment="1">
      <alignment horizontal="right"/>
    </xf>
    <xf numFmtId="165" fontId="4" fillId="4" borderId="0" xfId="9" applyNumberFormat="1" applyFont="1" applyFill="1" applyAlignment="1">
      <alignment horizontal="right"/>
    </xf>
    <xf numFmtId="165" fontId="13" fillId="4" borderId="0" xfId="9" applyNumberFormat="1" applyFont="1" applyFill="1" applyAlignment="1">
      <alignment horizontal="right"/>
    </xf>
    <xf numFmtId="165" fontId="4" fillId="0" borderId="2" xfId="9" applyNumberFormat="1" applyFont="1" applyBorder="1" applyAlignment="1">
      <alignment horizontal="right"/>
    </xf>
    <xf numFmtId="164" fontId="13" fillId="4" borderId="0" xfId="1" applyNumberFormat="1" applyFont="1" applyFill="1"/>
    <xf numFmtId="164" fontId="13" fillId="0" borderId="0" xfId="1" applyNumberFormat="1" applyFont="1"/>
    <xf numFmtId="0" fontId="13" fillId="4" borderId="0" xfId="0" applyFont="1" applyFill="1"/>
    <xf numFmtId="0" fontId="4" fillId="4" borderId="0" xfId="0" applyFont="1" applyFill="1" applyAlignment="1">
      <alignment horizontal="right"/>
    </xf>
    <xf numFmtId="0" fontId="14" fillId="4" borderId="0" xfId="0" applyFont="1" applyFill="1" applyAlignment="1">
      <alignment horizontal="right" wrapText="1"/>
    </xf>
    <xf numFmtId="1" fontId="14" fillId="4" borderId="0" xfId="0" applyNumberFormat="1" applyFont="1" applyFill="1" applyAlignment="1">
      <alignment horizontal="right" wrapText="1"/>
    </xf>
    <xf numFmtId="0" fontId="3" fillId="2" borderId="1" xfId="6" applyFont="1" applyFill="1" applyBorder="1" applyAlignment="1">
      <alignment horizontal="right"/>
    </xf>
    <xf numFmtId="0" fontId="3" fillId="2" borderId="1" xfId="6" applyFont="1" applyFill="1" applyBorder="1" applyAlignment="1">
      <alignment horizontal="right" wrapText="1"/>
    </xf>
    <xf numFmtId="165" fontId="4" fillId="0" borderId="0" xfId="7" applyNumberFormat="1" applyFont="1" applyBorder="1" applyAlignment="1">
      <alignment horizontal="right"/>
    </xf>
    <xf numFmtId="38" fontId="4" fillId="0" borderId="0" xfId="6" applyNumberFormat="1" applyFont="1" applyFill="1" applyBorder="1" applyAlignment="1">
      <alignment horizontal="right"/>
    </xf>
    <xf numFmtId="165" fontId="4" fillId="0" borderId="0" xfId="7" applyNumberFormat="1" applyFont="1" applyAlignment="1">
      <alignment horizontal="right"/>
    </xf>
    <xf numFmtId="38" fontId="15" fillId="0" borderId="0" xfId="6" applyNumberFormat="1" applyFont="1" applyFill="1" applyBorder="1" applyAlignment="1">
      <alignment horizontal="right"/>
    </xf>
    <xf numFmtId="165" fontId="15" fillId="0" borderId="0" xfId="7" applyNumberFormat="1" applyFont="1" applyBorder="1" applyAlignment="1">
      <alignment horizontal="right"/>
    </xf>
    <xf numFmtId="165" fontId="4" fillId="0" borderId="1" xfId="7" applyNumberFormat="1" applyFont="1" applyBorder="1" applyAlignment="1">
      <alignment horizontal="right"/>
    </xf>
    <xf numFmtId="38" fontId="4" fillId="0" borderId="0" xfId="6" applyNumberFormat="1" applyFont="1" applyBorder="1" applyAlignment="1">
      <alignment horizontal="right"/>
    </xf>
    <xf numFmtId="37" fontId="4" fillId="0" borderId="0" xfId="6" applyNumberFormat="1" applyFont="1" applyFill="1" applyBorder="1" applyAlignment="1">
      <alignment horizontal="right"/>
    </xf>
    <xf numFmtId="38" fontId="16" fillId="0" borderId="0" xfId="6" applyNumberFormat="1" applyFont="1" applyBorder="1" applyAlignment="1">
      <alignment horizontal="right"/>
    </xf>
    <xf numFmtId="165" fontId="16" fillId="0" borderId="0" xfId="7" applyNumberFormat="1" applyFont="1" applyBorder="1" applyAlignment="1">
      <alignment horizontal="right"/>
    </xf>
    <xf numFmtId="165" fontId="17" fillId="0" borderId="0" xfId="6" applyNumberFormat="1" applyFont="1" applyAlignment="1">
      <alignment horizontal="right"/>
    </xf>
    <xf numFmtId="166" fontId="3" fillId="0" borderId="0" xfId="6" applyNumberFormat="1" applyFont="1" applyBorder="1" applyAlignment="1">
      <alignment horizontal="right"/>
    </xf>
    <xf numFmtId="165" fontId="3" fillId="0" borderId="0" xfId="7" applyNumberFormat="1" applyFont="1" applyBorder="1" applyAlignment="1">
      <alignment horizontal="right"/>
    </xf>
    <xf numFmtId="165" fontId="3" fillId="0" borderId="0" xfId="6" applyNumberFormat="1" applyFont="1" applyAlignment="1">
      <alignment horizontal="right"/>
    </xf>
    <xf numFmtId="165" fontId="3" fillId="2" borderId="1" xfId="7" applyNumberFormat="1" applyFont="1" applyFill="1" applyBorder="1" applyAlignment="1">
      <alignment horizontal="right"/>
    </xf>
    <xf numFmtId="6" fontId="3" fillId="0" borderId="0" xfId="6" applyNumberFormat="1" applyFont="1" applyFill="1" applyBorder="1" applyAlignment="1">
      <alignment horizontal="right"/>
    </xf>
    <xf numFmtId="165" fontId="18" fillId="0" borderId="0" xfId="7" applyNumberFormat="1" applyFont="1" applyBorder="1" applyAlignment="1">
      <alignment horizontal="right"/>
    </xf>
    <xf numFmtId="38" fontId="18" fillId="0" borderId="0" xfId="6" applyNumberFormat="1" applyFont="1" applyFill="1" applyBorder="1" applyAlignment="1">
      <alignment horizontal="right"/>
    </xf>
    <xf numFmtId="165" fontId="18" fillId="0" borderId="0" xfId="7" applyNumberFormat="1" applyFont="1" applyAlignment="1">
      <alignment horizontal="right"/>
    </xf>
    <xf numFmtId="38" fontId="3" fillId="0" borderId="0" xfId="6" applyNumberFormat="1" applyFont="1" applyBorder="1" applyAlignment="1">
      <alignment horizontal="right"/>
    </xf>
    <xf numFmtId="37" fontId="4" fillId="0" borderId="1" xfId="6" applyNumberFormat="1" applyFont="1" applyFill="1" applyBorder="1" applyAlignment="1">
      <alignment horizontal="right"/>
    </xf>
    <xf numFmtId="38" fontId="3" fillId="0" borderId="0" xfId="6" applyNumberFormat="1" applyFont="1" applyFill="1" applyBorder="1" applyAlignment="1">
      <alignment horizontal="right"/>
    </xf>
    <xf numFmtId="165" fontId="3" fillId="0" borderId="0" xfId="7" applyNumberFormat="1" applyFont="1" applyAlignment="1">
      <alignment horizontal="right"/>
    </xf>
    <xf numFmtId="165" fontId="18" fillId="0" borderId="0" xfId="6" applyNumberFormat="1" applyFont="1" applyAlignment="1">
      <alignment horizontal="right"/>
    </xf>
    <xf numFmtId="165" fontId="4" fillId="0" borderId="0" xfId="6" applyNumberFormat="1" applyFont="1" applyAlignment="1">
      <alignment horizontal="right"/>
    </xf>
    <xf numFmtId="0" fontId="13" fillId="0" borderId="6" xfId="0" applyFont="1" applyBorder="1" applyAlignment="1">
      <alignment horizontal="right"/>
    </xf>
    <xf numFmtId="0" fontId="13" fillId="0" borderId="8" xfId="0" applyFont="1" applyBorder="1"/>
    <xf numFmtId="0" fontId="13" fillId="0" borderId="7" xfId="0" applyFont="1" applyBorder="1" applyAlignment="1">
      <alignment horizontal="right"/>
    </xf>
    <xf numFmtId="0" fontId="13" fillId="0" borderId="9" xfId="0" applyFont="1" applyBorder="1"/>
    <xf numFmtId="0" fontId="13" fillId="0" borderId="10" xfId="0" applyFont="1" applyBorder="1"/>
    <xf numFmtId="9" fontId="13" fillId="0" borderId="8" xfId="1" applyFont="1" applyBorder="1"/>
    <xf numFmtId="9" fontId="13" fillId="0" borderId="9" xfId="1" applyFont="1" applyBorder="1"/>
    <xf numFmtId="9" fontId="13" fillId="0" borderId="11" xfId="1" applyFont="1" applyBorder="1"/>
    <xf numFmtId="0" fontId="5" fillId="0" borderId="0" xfId="11"/>
    <xf numFmtId="0" fontId="5" fillId="0" borderId="5" xfId="11" applyBorder="1"/>
    <xf numFmtId="0" fontId="5" fillId="0" borderId="0" xfId="11" applyBorder="1"/>
    <xf numFmtId="0" fontId="21" fillId="0" borderId="0" xfId="11" applyFont="1"/>
    <xf numFmtId="0" fontId="19" fillId="3" borderId="0" xfId="11" applyFont="1" applyFill="1"/>
    <xf numFmtId="0" fontId="5" fillId="3" borderId="10" xfId="11" applyFill="1" applyBorder="1"/>
    <xf numFmtId="0" fontId="5" fillId="3" borderId="0" xfId="11" applyFill="1" applyBorder="1"/>
    <xf numFmtId="0" fontId="5" fillId="3" borderId="0" xfId="11" applyFill="1" applyAlignment="1">
      <alignment horizontal="center"/>
    </xf>
    <xf numFmtId="0" fontId="5" fillId="3" borderId="0" xfId="11" applyFont="1" applyFill="1"/>
    <xf numFmtId="0" fontId="19" fillId="3" borderId="0" xfId="11" applyFont="1" applyFill="1" applyAlignment="1">
      <alignment horizontal="center"/>
    </xf>
    <xf numFmtId="0" fontId="5" fillId="3" borderId="0" xfId="11" applyFill="1"/>
    <xf numFmtId="0" fontId="20" fillId="3" borderId="13" xfId="11" applyFont="1" applyFill="1" applyBorder="1"/>
    <xf numFmtId="0" fontId="21" fillId="3" borderId="10" xfId="11" applyFont="1" applyFill="1" applyBorder="1"/>
    <xf numFmtId="0" fontId="5" fillId="3" borderId="5" xfId="11" applyFill="1" applyBorder="1"/>
    <xf numFmtId="0" fontId="22" fillId="3" borderId="0" xfId="11" applyFont="1" applyFill="1" applyBorder="1"/>
    <xf numFmtId="0" fontId="5" fillId="3" borderId="4" xfId="11" applyFill="1" applyBorder="1"/>
    <xf numFmtId="0" fontId="5" fillId="3" borderId="12" xfId="11" applyFill="1" applyBorder="1"/>
    <xf numFmtId="0" fontId="21" fillId="3" borderId="12" xfId="11" applyFont="1" applyFill="1" applyBorder="1"/>
    <xf numFmtId="0" fontId="5" fillId="15" borderId="0" xfId="11" applyFont="1" applyFill="1"/>
    <xf numFmtId="0" fontId="5" fillId="15" borderId="0" xfId="11" applyFill="1"/>
    <xf numFmtId="0" fontId="19" fillId="15" borderId="0" xfId="11" applyFont="1" applyFill="1"/>
    <xf numFmtId="0" fontId="5" fillId="15" borderId="0" xfId="11" applyFill="1" applyAlignment="1">
      <alignment horizontal="center"/>
    </xf>
    <xf numFmtId="0" fontId="19" fillId="15" borderId="0" xfId="11" applyFont="1" applyFill="1" applyAlignment="1">
      <alignment horizontal="center"/>
    </xf>
    <xf numFmtId="0" fontId="21" fillId="15" borderId="0" xfId="11" applyFont="1" applyFill="1"/>
    <xf numFmtId="0" fontId="5" fillId="16" borderId="0" xfId="11" applyFill="1" applyBorder="1" applyAlignment="1">
      <alignment horizontal="center"/>
    </xf>
    <xf numFmtId="0" fontId="22" fillId="16" borderId="0" xfId="11" applyFont="1" applyFill="1" applyBorder="1" applyAlignment="1">
      <alignment horizontal="center"/>
    </xf>
    <xf numFmtId="0" fontId="10" fillId="13" borderId="0" xfId="11" applyFont="1" applyFill="1" applyBorder="1" applyAlignment="1">
      <alignment horizontal="center" vertical="center"/>
    </xf>
    <xf numFmtId="0" fontId="7" fillId="0" borderId="0" xfId="11" applyFont="1"/>
    <xf numFmtId="0" fontId="5" fillId="13" borderId="0" xfId="11" applyFill="1"/>
    <xf numFmtId="0" fontId="5" fillId="5" borderId="0" xfId="11" applyFill="1"/>
    <xf numFmtId="0" fontId="38" fillId="13" borderId="0" xfId="11" applyFont="1" applyFill="1"/>
    <xf numFmtId="0" fontId="2" fillId="17" borderId="15" xfId="0" applyFont="1" applyFill="1" applyBorder="1" applyAlignment="1">
      <alignment wrapText="1"/>
    </xf>
    <xf numFmtId="0" fontId="2" fillId="17" borderId="15" xfId="0" applyFont="1" applyFill="1" applyBorder="1"/>
    <xf numFmtId="0" fontId="2" fillId="17" borderId="15" xfId="0" applyFont="1" applyFill="1" applyBorder="1" applyAlignment="1">
      <alignment horizontal="center"/>
    </xf>
    <xf numFmtId="0" fontId="3" fillId="2" borderId="1" xfId="6" applyFont="1" applyFill="1" applyBorder="1" applyAlignment="1">
      <alignment horizontal="center"/>
    </xf>
    <xf numFmtId="0" fontId="36" fillId="0" borderId="5" xfId="0" applyFont="1" applyBorder="1"/>
    <xf numFmtId="9" fontId="1" fillId="0" borderId="15" xfId="1" applyFont="1" applyBorder="1"/>
    <xf numFmtId="0" fontId="39" fillId="3" borderId="0" xfId="11" applyFont="1" applyFill="1" applyBorder="1"/>
    <xf numFmtId="0" fontId="40" fillId="3" borderId="0" xfId="11" applyFont="1" applyFill="1" applyBorder="1" applyAlignment="1">
      <alignment horizontal="centerContinuous"/>
    </xf>
    <xf numFmtId="0" fontId="41" fillId="3" borderId="0" xfId="11" applyFont="1" applyFill="1" applyBorder="1" applyAlignment="1">
      <alignment horizontal="centerContinuous"/>
    </xf>
    <xf numFmtId="0" fontId="42" fillId="3" borderId="0" xfId="11" applyFont="1" applyFill="1" applyAlignment="1">
      <alignment horizontal="center"/>
    </xf>
    <xf numFmtId="0" fontId="43" fillId="3" borderId="10" xfId="11" applyFont="1" applyFill="1" applyBorder="1"/>
    <xf numFmtId="0" fontId="43" fillId="16" borderId="0" xfId="11" applyFont="1" applyFill="1" applyBorder="1" applyAlignment="1">
      <alignment horizontal="center" vertical="center" wrapText="1"/>
    </xf>
    <xf numFmtId="0" fontId="6" fillId="3" borderId="0" xfId="11" applyFont="1" applyFill="1" applyBorder="1"/>
    <xf numFmtId="0" fontId="43" fillId="3" borderId="12" xfId="11" applyFont="1" applyFill="1" applyBorder="1"/>
    <xf numFmtId="0" fontId="42" fillId="15" borderId="0" xfId="11" applyFont="1" applyFill="1" applyAlignment="1">
      <alignment horizontal="center"/>
    </xf>
    <xf numFmtId="0" fontId="43" fillId="15" borderId="0" xfId="11" applyFont="1" applyFill="1"/>
    <xf numFmtId="0" fontId="43" fillId="0" borderId="0" xfId="11" applyFont="1"/>
    <xf numFmtId="9" fontId="13" fillId="0" borderId="0" xfId="1" applyFont="1"/>
    <xf numFmtId="0" fontId="44" fillId="16" borderId="0" xfId="11" applyFont="1" applyFill="1" applyBorder="1" applyAlignment="1">
      <alignment horizontal="center" vertical="center" wrapText="1"/>
    </xf>
    <xf numFmtId="37" fontId="1" fillId="0" borderId="15" xfId="9" applyNumberFormat="1" applyFont="1" applyBorder="1"/>
    <xf numFmtId="0" fontId="0" fillId="0" borderId="0" xfId="0" applyFill="1" applyBorder="1" applyAlignment="1">
      <alignment horizontal="right"/>
    </xf>
    <xf numFmtId="0" fontId="45" fillId="0" borderId="0" xfId="10" applyFont="1" applyAlignment="1" applyProtection="1">
      <alignment horizontal="center"/>
    </xf>
    <xf numFmtId="9" fontId="13" fillId="0" borderId="0" xfId="0" applyNumberFormat="1" applyFont="1"/>
    <xf numFmtId="43" fontId="1" fillId="0" borderId="15" xfId="9" applyFont="1" applyBorder="1"/>
    <xf numFmtId="165" fontId="1" fillId="0" borderId="15" xfId="9" applyNumberFormat="1" applyFont="1" applyBorder="1"/>
    <xf numFmtId="0" fontId="4" fillId="0" borderId="0" xfId="6" applyFont="1" applyBorder="1" applyAlignment="1">
      <alignment horizontal="left"/>
    </xf>
    <xf numFmtId="164" fontId="1" fillId="0" borderId="15" xfId="1" applyNumberFormat="1" applyFont="1" applyBorder="1"/>
    <xf numFmtId="165" fontId="1" fillId="0" borderId="15" xfId="9" applyNumberFormat="1" applyFont="1" applyBorder="1" applyAlignment="1">
      <alignment horizontal="right"/>
    </xf>
    <xf numFmtId="0" fontId="12" fillId="0" borderId="0" xfId="0" applyFont="1"/>
    <xf numFmtId="0" fontId="0" fillId="0" borderId="0" xfId="0" applyAlignment="1"/>
    <xf numFmtId="0" fontId="46" fillId="3" borderId="0" xfId="11" applyFont="1" applyFill="1" applyBorder="1" applyAlignment="1">
      <alignment horizontal="centerContinuous"/>
    </xf>
    <xf numFmtId="0" fontId="13" fillId="0" borderId="0" xfId="0" applyFont="1" applyBorder="1"/>
    <xf numFmtId="0" fontId="3" fillId="2" borderId="1" xfId="6" applyFont="1" applyFill="1" applyBorder="1" applyAlignment="1">
      <alignment horizontal="center"/>
    </xf>
    <xf numFmtId="0" fontId="3" fillId="2" borderId="1" xfId="6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1" fillId="0" borderId="0" xfId="10" applyAlignment="1" applyProtection="1"/>
    <xf numFmtId="39" fontId="1" fillId="0" borderId="15" xfId="9" applyNumberFormat="1" applyFont="1" applyBorder="1"/>
    <xf numFmtId="43" fontId="1" fillId="0" borderId="15" xfId="9" applyFont="1" applyBorder="1" applyAlignment="1">
      <alignment horizontal="right"/>
    </xf>
    <xf numFmtId="0" fontId="3" fillId="0" borderId="0" xfId="0" quotePrefix="1" applyNumberFormat="1" applyFont="1" applyAlignment="1">
      <alignment horizontal="right"/>
    </xf>
    <xf numFmtId="43" fontId="13" fillId="4" borderId="0" xfId="9" applyFont="1" applyFill="1" applyAlignment="1">
      <alignment horizontal="right"/>
    </xf>
    <xf numFmtId="43" fontId="4" fillId="4" borderId="0" xfId="9" applyFont="1" applyFill="1" applyAlignment="1">
      <alignment horizontal="right"/>
    </xf>
    <xf numFmtId="0" fontId="0" fillId="0" borderId="0" xfId="0" applyFill="1"/>
    <xf numFmtId="39" fontId="13" fillId="0" borderId="0" xfId="9" applyNumberFormat="1" applyFont="1" applyBorder="1" applyAlignment="1">
      <alignment horizontal="right"/>
    </xf>
    <xf numFmtId="39" fontId="4" fillId="0" borderId="0" xfId="9" applyNumberFormat="1" applyFont="1" applyBorder="1" applyAlignment="1">
      <alignment horizontal="right"/>
    </xf>
    <xf numFmtId="39" fontId="13" fillId="4" borderId="0" xfId="9" applyNumberFormat="1" applyFont="1" applyFill="1" applyBorder="1" applyAlignment="1">
      <alignment horizontal="right"/>
    </xf>
    <xf numFmtId="39" fontId="4" fillId="4" borderId="0" xfId="9" applyNumberFormat="1" applyFont="1" applyFill="1" applyBorder="1" applyAlignment="1">
      <alignment horizontal="right"/>
    </xf>
    <xf numFmtId="39" fontId="13" fillId="0" borderId="2" xfId="9" applyNumberFormat="1" applyFont="1" applyBorder="1" applyAlignment="1">
      <alignment horizontal="right"/>
    </xf>
    <xf numFmtId="39" fontId="4" fillId="0" borderId="2" xfId="9" applyNumberFormat="1" applyFont="1" applyBorder="1" applyAlignment="1">
      <alignment horizontal="right"/>
    </xf>
    <xf numFmtId="0" fontId="47" fillId="0" borderId="0" xfId="0" applyFont="1"/>
    <xf numFmtId="49" fontId="37" fillId="0" borderId="5" xfId="0" applyNumberFormat="1" applyFont="1" applyBorder="1" applyAlignment="1">
      <alignment horizontal="right"/>
    </xf>
    <xf numFmtId="3" fontId="35" fillId="13" borderId="10" xfId="11" applyNumberFormat="1" applyFont="1" applyFill="1" applyBorder="1" applyAlignment="1">
      <alignment horizontal="center" vertical="top"/>
    </xf>
    <xf numFmtId="3" fontId="35" fillId="13" borderId="0" xfId="11" applyNumberFormat="1" applyFont="1" applyFill="1" applyBorder="1" applyAlignment="1">
      <alignment horizontal="center" vertical="top"/>
    </xf>
    <xf numFmtId="3" fontId="35" fillId="13" borderId="12" xfId="11" applyNumberFormat="1" applyFont="1" applyFill="1" applyBorder="1" applyAlignment="1">
      <alignment horizontal="center" vertical="top"/>
    </xf>
    <xf numFmtId="0" fontId="5" fillId="14" borderId="10" xfId="11" applyFill="1" applyBorder="1" applyAlignment="1">
      <alignment horizontal="center"/>
    </xf>
    <xf numFmtId="0" fontId="5" fillId="14" borderId="0" xfId="11" applyFill="1" applyBorder="1" applyAlignment="1">
      <alignment horizontal="center"/>
    </xf>
    <xf numFmtId="0" fontId="5" fillId="14" borderId="12" xfId="11" applyFill="1" applyBorder="1" applyAlignment="1">
      <alignment horizontal="center"/>
    </xf>
    <xf numFmtId="0" fontId="23" fillId="5" borderId="14" xfId="11" applyFont="1" applyFill="1" applyBorder="1" applyAlignment="1">
      <alignment horizontal="center"/>
    </xf>
    <xf numFmtId="0" fontId="23" fillId="5" borderId="1" xfId="11" applyFont="1" applyFill="1" applyBorder="1" applyAlignment="1">
      <alignment horizontal="center"/>
    </xf>
    <xf numFmtId="0" fontId="23" fillId="5" borderId="3" xfId="11" applyFont="1" applyFill="1" applyBorder="1" applyAlignment="1">
      <alignment horizontal="center"/>
    </xf>
  </cellXfs>
  <cellStyles count="39">
    <cellStyle name="ColumnAttributeAbovePrompt" xfId="12"/>
    <cellStyle name="ColumnAttributePrompt" xfId="13"/>
    <cellStyle name="ColumnAttributeValue" xfId="14"/>
    <cellStyle name="ColumnHeadingPrompt" xfId="15"/>
    <cellStyle name="ColumnHeadingValue" xfId="16"/>
    <cellStyle name="Comma" xfId="9" builtinId="3"/>
    <cellStyle name="Comma 2" xfId="7"/>
    <cellStyle name="Hyperlink" xfId="10" builtinId="8"/>
    <cellStyle name="Hyperlink 2" xfId="3"/>
    <cellStyle name="LineItemPrompt" xfId="17"/>
    <cellStyle name="LineItemValue" xfId="18"/>
    <cellStyle name="Normal" xfId="0" builtinId="0"/>
    <cellStyle name="Normal 2" xfId="4"/>
    <cellStyle name="Normal 3" xfId="5"/>
    <cellStyle name="Normal 4" xfId="6"/>
    <cellStyle name="Normal 5" xfId="11"/>
    <cellStyle name="Normal_3Fact Book 2006 Student Worksheets" xfId="2"/>
    <cellStyle name="OUTPUT AMOUNTS" xfId="19"/>
    <cellStyle name="OUTPUT COLUMN HEADINGS" xfId="20"/>
    <cellStyle name="OUTPUT LINE ITEMS" xfId="21"/>
    <cellStyle name="OUTPUT REPORT HEADING" xfId="22"/>
    <cellStyle name="OUTPUT REPORT TITLE" xfId="23"/>
    <cellStyle name="Percent" xfId="1" builtinId="5"/>
    <cellStyle name="Percent 2" xfId="8"/>
    <cellStyle name="ReportTitlePrompt" xfId="24"/>
    <cellStyle name="ReportTitleValue" xfId="25"/>
    <cellStyle name="RowAcctAbovePrompt" xfId="26"/>
    <cellStyle name="RowAcctSOBAbovePrompt" xfId="27"/>
    <cellStyle name="RowAcctSOBValue" xfId="28"/>
    <cellStyle name="RowAcctValue" xfId="29"/>
    <cellStyle name="RowAttrAbovePrompt" xfId="30"/>
    <cellStyle name="RowAttrValue" xfId="31"/>
    <cellStyle name="RowColSetAbovePrompt" xfId="32"/>
    <cellStyle name="RowColSetLeftPrompt" xfId="33"/>
    <cellStyle name="RowColSetValue" xfId="34"/>
    <cellStyle name="RowLeftPrompt" xfId="35"/>
    <cellStyle name="SampleUsingFormatMask" xfId="36"/>
    <cellStyle name="SampleWithNoFormatMask" xfId="37"/>
    <cellStyle name="UploadThisRowValue" xfId="38"/>
  </cellStyles>
  <dxfs count="0"/>
  <tableStyles count="0" defaultTableStyle="TableStyleMedium9" defaultPivotStyle="PivotStyleLight16"/>
  <colors>
    <mruColors>
      <color rgb="FF009900"/>
      <color rgb="FFFF99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strLit>
              <c:ptCount val="5"/>
              <c:pt idx="0">
                <c:v>03</c:v>
              </c:pt>
              <c:pt idx="1">
                <c:v>I</c:v>
              </c:pt>
              <c:pt idx="2">
                <c:v>II</c:v>
              </c:pt>
              <c:pt idx="3">
                <c:v>III</c:v>
              </c:pt>
              <c:pt idx="4">
                <c:v>04</c:v>
              </c:pt>
            </c:strLit>
          </c:cat>
          <c:val>
            <c:numLit>
              <c:formatCode>General</c:formatCode>
              <c:ptCount val="5"/>
              <c:pt idx="0">
                <c:v>10.057</c:v>
              </c:pt>
              <c:pt idx="1">
                <c:v>8.6020000000000003</c:v>
              </c:pt>
              <c:pt idx="2">
                <c:v>9.4160000000000004</c:v>
              </c:pt>
              <c:pt idx="3">
                <c:v>9.8860000000000028</c:v>
              </c:pt>
              <c:pt idx="4">
                <c:v>9.2680000000000025</c:v>
              </c:pt>
            </c:numLit>
          </c:val>
        </c:ser>
        <c:marker val="1"/>
        <c:axId val="73315072"/>
        <c:axId val="73316992"/>
      </c:lineChart>
      <c:catAx>
        <c:axId val="73315072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316992"/>
        <c:crosses val="autoZero"/>
        <c:lblAlgn val="ctr"/>
        <c:lblOffset val="100"/>
        <c:tickLblSkip val="2"/>
        <c:tickMarkSkip val="1"/>
      </c:catAx>
      <c:valAx>
        <c:axId val="733169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315072"/>
        <c:crosses val="autoZero"/>
        <c:crossBetween val="between"/>
      </c:valAx>
      <c:spPr>
        <a:solidFill>
          <a:srgbClr val="FFFFFF"/>
        </a:solidFill>
        <a:ln w="12700">
          <a:solidFill>
            <a:srgbClr val="7D674B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#REF!$C$43:$G$43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spPr>
            <a:ln w="25400">
              <a:solidFill>
                <a:srgbClr val="5F5F5F"/>
              </a:solidFill>
              <a:prstDash val="solid"/>
            </a:ln>
          </c:spPr>
          <c:marker>
            <c:symbol val="none"/>
          </c:marker>
          <c:cat>
            <c:numRef>
              <c:f>#REF!$C$43:$G$43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74400896"/>
        <c:axId val="74402432"/>
      </c:lineChart>
      <c:catAx>
        <c:axId val="74400896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4402432"/>
        <c:crosses val="autoZero"/>
        <c:lblAlgn val="ctr"/>
        <c:lblOffset val="100"/>
        <c:tickLblSkip val="1"/>
        <c:tickMarkSkip val="1"/>
      </c:catAx>
      <c:valAx>
        <c:axId val="744024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4400896"/>
        <c:crosses val="autoZero"/>
        <c:crossBetween val="between"/>
      </c:valAx>
      <c:spPr>
        <a:solidFill>
          <a:srgbClr val="FFFFFF"/>
        </a:solidFill>
        <a:ln w="12700">
          <a:solidFill>
            <a:srgbClr val="7D674B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675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260410016315528"/>
          <c:y val="5.1400554097404488E-2"/>
          <c:w val="0.76997233453926373"/>
          <c:h val="0.72517746954578555"/>
        </c:manualLayout>
      </c:layout>
      <c:barChart>
        <c:barDir val="col"/>
        <c:grouping val="clustered"/>
        <c:ser>
          <c:idx val="0"/>
          <c:order val="0"/>
          <c:tx>
            <c:strRef>
              <c:f>'Graphic Data'!$B$68</c:f>
              <c:strCache>
                <c:ptCount val="1"/>
                <c:pt idx="0">
                  <c:v>MC Freshman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/>
          </c:spPr>
          <c:cat>
            <c:strRef>
              <c:f>[0]!dl_retention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[0]!ds_retention_freshman</c:f>
              <c:numCache>
                <c:formatCode>0%</c:formatCode>
                <c:ptCount val="8"/>
                <c:pt idx="0">
                  <c:v>0.82807017543859651</c:v>
                </c:pt>
                <c:pt idx="1">
                  <c:v>0.84262295081967209</c:v>
                </c:pt>
                <c:pt idx="2">
                  <c:v>0.87755102040816324</c:v>
                </c:pt>
                <c:pt idx="3">
                  <c:v>0.87543252595155707</c:v>
                </c:pt>
                <c:pt idx="4">
                  <c:v>0.88800000000000001</c:v>
                </c:pt>
                <c:pt idx="5">
                  <c:v>0.80421686746987953</c:v>
                </c:pt>
                <c:pt idx="6">
                  <c:v>0.84713375796178347</c:v>
                </c:pt>
                <c:pt idx="7">
                  <c:v>0.78742514970059885</c:v>
                </c:pt>
              </c:numCache>
            </c:numRef>
          </c:val>
        </c:ser>
        <c:axId val="74432512"/>
        <c:axId val="74434432"/>
      </c:barChart>
      <c:lineChart>
        <c:grouping val="standard"/>
        <c:ser>
          <c:idx val="1"/>
          <c:order val="1"/>
          <c:tx>
            <c:strRef>
              <c:f>'Graphic Data'!$B$69</c:f>
              <c:strCache>
                <c:ptCount val="1"/>
                <c:pt idx="0">
                  <c:v>MC Transfers</c:v>
                </c:pt>
              </c:strCache>
            </c:strRef>
          </c:tx>
          <c:spPr>
            <a:ln w="22225"/>
          </c:spPr>
          <c:marker>
            <c:symbol val="square"/>
            <c:size val="4"/>
            <c:spPr>
              <a:ln w="3175"/>
            </c:spPr>
          </c:marker>
          <c:cat>
            <c:strRef>
              <c:f>[0]!dl_retention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[0]!ds_retention_transfer</c:f>
              <c:numCache>
                <c:formatCode>0%</c:formatCode>
                <c:ptCount val="8"/>
                <c:pt idx="0">
                  <c:v>0.73643410852713176</c:v>
                </c:pt>
                <c:pt idx="1">
                  <c:v>0.81481481481481477</c:v>
                </c:pt>
                <c:pt idx="2">
                  <c:v>0.75454545454545452</c:v>
                </c:pt>
                <c:pt idx="3">
                  <c:v>0.84761904761904761</c:v>
                </c:pt>
                <c:pt idx="4">
                  <c:v>0.8125</c:v>
                </c:pt>
                <c:pt idx="5">
                  <c:v>0.86614173228346458</c:v>
                </c:pt>
                <c:pt idx="6">
                  <c:v>0.76470588235294112</c:v>
                </c:pt>
                <c:pt idx="7">
                  <c:v>0.76984126984126988</c:v>
                </c:pt>
              </c:numCache>
            </c:numRef>
          </c:val>
        </c:ser>
        <c:ser>
          <c:idx val="2"/>
          <c:order val="2"/>
          <c:tx>
            <c:strRef>
              <c:f>'Graphic Data'!$B$70</c:f>
              <c:strCache>
                <c:ptCount val="1"/>
                <c:pt idx="0">
                  <c:v>CAPA</c:v>
                </c:pt>
              </c:strCache>
            </c:strRef>
          </c:tx>
          <c:marker>
            <c:symbol val="star"/>
            <c:size val="7"/>
            <c:spPr>
              <a:ln>
                <a:solidFill>
                  <a:schemeClr val="tx1"/>
                </a:solidFill>
              </a:ln>
            </c:spPr>
          </c:marker>
          <c:val>
            <c:numRef>
              <c:f>[0]!ds_retention_capa</c:f>
              <c:numCache>
                <c:formatCode>0%</c:formatCode>
                <c:ptCount val="8"/>
                <c:pt idx="0">
                  <c:v>0.74611398963730569</c:v>
                </c:pt>
                <c:pt idx="1">
                  <c:v>0.84615384615384615</c:v>
                </c:pt>
                <c:pt idx="2">
                  <c:v>0.71241830065359479</c:v>
                </c:pt>
                <c:pt idx="3">
                  <c:v>0.73</c:v>
                </c:pt>
                <c:pt idx="4">
                  <c:v>0.84745762711864403</c:v>
                </c:pt>
                <c:pt idx="5">
                  <c:v>0.80597014925373134</c:v>
                </c:pt>
                <c:pt idx="6">
                  <c:v>0.80392156862745101</c:v>
                </c:pt>
                <c:pt idx="7">
                  <c:v>0.8</c:v>
                </c:pt>
              </c:numCache>
            </c:numRef>
          </c:val>
        </c:ser>
        <c:ser>
          <c:idx val="3"/>
          <c:order val="3"/>
          <c:tx>
            <c:strRef>
              <c:f>'Graphic Data'!$B$71</c:f>
              <c:strCache>
                <c:ptCount val="1"/>
                <c:pt idx="0">
                  <c:v>RCA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pPr>
              <a:ln>
                <a:solidFill>
                  <a:sysClr val="windowText" lastClr="000000"/>
                </a:solidFill>
              </a:ln>
            </c:spPr>
          </c:marker>
          <c:val>
            <c:numRef>
              <c:f>[0]!ds_retention_rca</c:f>
              <c:numCache>
                <c:formatCode>0%</c:formatCode>
                <c:ptCount val="8"/>
                <c:pt idx="0">
                  <c:v>0.69135802469135799</c:v>
                </c:pt>
                <c:pt idx="1">
                  <c:v>0.74850299401197606</c:v>
                </c:pt>
                <c:pt idx="2">
                  <c:v>0.70403587443946192</c:v>
                </c:pt>
                <c:pt idx="3">
                  <c:v>0.70036101083032487</c:v>
                </c:pt>
                <c:pt idx="4">
                  <c:v>0.76949152542372878</c:v>
                </c:pt>
                <c:pt idx="5">
                  <c:v>0.74675324675324672</c:v>
                </c:pt>
                <c:pt idx="6">
                  <c:v>0.74747474747474751</c:v>
                </c:pt>
                <c:pt idx="7">
                  <c:v>0.70992366412213737</c:v>
                </c:pt>
              </c:numCache>
            </c:numRef>
          </c:val>
        </c:ser>
        <c:marker val="1"/>
        <c:axId val="74432512"/>
        <c:axId val="74434432"/>
      </c:lineChart>
      <c:catAx>
        <c:axId val="74432512"/>
        <c:scaling>
          <c:orientation val="minMax"/>
        </c:scaling>
        <c:axPos val="b"/>
        <c:tickLblPos val="nextTo"/>
        <c:crossAx val="74434432"/>
        <c:crosses val="autoZero"/>
        <c:auto val="1"/>
        <c:lblAlgn val="ctr"/>
        <c:lblOffset val="100"/>
      </c:catAx>
      <c:valAx>
        <c:axId val="74434432"/>
        <c:scaling>
          <c:orientation val="minMax"/>
          <c:max val="1"/>
          <c:min val="0.30000000000000032"/>
        </c:scaling>
        <c:axPos val="l"/>
        <c:majorGridlines/>
        <c:numFmt formatCode="0%" sourceLinked="1"/>
        <c:tickLblPos val="nextTo"/>
        <c:crossAx val="74432512"/>
        <c:crosses val="autoZero"/>
        <c:crossBetween val="between"/>
        <c:majorUnit val="0.1"/>
      </c:valAx>
      <c:spPr>
        <a:solidFill>
          <a:schemeClr val="bg1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7857747511290938"/>
          <c:y val="0.39155072757872594"/>
          <c:w val="0.44360313068974483"/>
          <c:h val="0.3251580085513146"/>
        </c:manualLayout>
      </c:layout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</c:chart>
  <c:spPr>
    <a:solidFill>
      <a:srgbClr val="9BBB59">
        <a:lumMod val="40000"/>
        <a:lumOff val="60000"/>
      </a:srgbClr>
    </a:solidFill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260410016315528"/>
          <c:y val="5.1400554097404488E-2"/>
          <c:w val="0.76997233453926373"/>
          <c:h val="0.72517746954578577"/>
        </c:manualLayout>
      </c:layout>
      <c:barChart>
        <c:barDir val="col"/>
        <c:grouping val="clustered"/>
        <c:ser>
          <c:idx val="0"/>
          <c:order val="0"/>
          <c:tx>
            <c:strRef>
              <c:f>'Graphic Data'!$B$75</c:f>
              <c:strCache>
                <c:ptCount val="1"/>
                <c:pt idx="0">
                  <c:v>MC Freshman 6YR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/>
          </c:spPr>
          <c:cat>
            <c:strRef>
              <c:f>[0]!dl_graduation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[0]!ds_graduation_Freshman6</c:f>
              <c:numCache>
                <c:formatCode>0%</c:formatCode>
                <c:ptCount val="8"/>
                <c:pt idx="0">
                  <c:v>0.46195652173913043</c:v>
                </c:pt>
                <c:pt idx="1">
                  <c:v>0.46938775510204084</c:v>
                </c:pt>
                <c:pt idx="2">
                  <c:v>0.50495049504950495</c:v>
                </c:pt>
                <c:pt idx="3">
                  <c:v>0.48909657320872274</c:v>
                </c:pt>
                <c:pt idx="4">
                  <c:v>0.52500000000000002</c:v>
                </c:pt>
                <c:pt idx="5">
                  <c:v>0.50877192982456143</c:v>
                </c:pt>
                <c:pt idx="6">
                  <c:v>0.58032786885245902</c:v>
                </c:pt>
                <c:pt idx="7">
                  <c:v>0.61224489795918369</c:v>
                </c:pt>
              </c:numCache>
            </c:numRef>
          </c:val>
        </c:ser>
        <c:axId val="74534272"/>
        <c:axId val="74548736"/>
      </c:barChart>
      <c:lineChart>
        <c:grouping val="standard"/>
        <c:ser>
          <c:idx val="1"/>
          <c:order val="1"/>
          <c:tx>
            <c:strRef>
              <c:f>'Graphic Data'!$B$74</c:f>
              <c:strCache>
                <c:ptCount val="1"/>
                <c:pt idx="0">
                  <c:v>MC Freshman 4YR</c:v>
                </c:pt>
              </c:strCache>
            </c:strRef>
          </c:tx>
          <c:spPr>
            <a:ln w="22225"/>
          </c:spPr>
          <c:marker>
            <c:symbol val="square"/>
            <c:size val="4"/>
            <c:spPr>
              <a:ln w="3175">
                <a:solidFill>
                  <a:schemeClr val="tx1"/>
                </a:solidFill>
              </a:ln>
            </c:spPr>
          </c:marker>
          <c:cat>
            <c:strRef>
              <c:f>[0]!dl_retention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[0]!ds_graduation_Freshman4</c:f>
              <c:numCache>
                <c:formatCode>0%</c:formatCode>
                <c:ptCount val="8"/>
                <c:pt idx="0">
                  <c:v>0.30693069306930693</c:v>
                </c:pt>
                <c:pt idx="1">
                  <c:v>0.33021806853582553</c:v>
                </c:pt>
                <c:pt idx="2">
                  <c:v>0.38437500000000002</c:v>
                </c:pt>
                <c:pt idx="3">
                  <c:v>0.32631578947368423</c:v>
                </c:pt>
                <c:pt idx="4">
                  <c:v>0.41311475409836068</c:v>
                </c:pt>
                <c:pt idx="5">
                  <c:v>0.42176870748299322</c:v>
                </c:pt>
                <c:pt idx="6">
                  <c:v>0.43252595155709345</c:v>
                </c:pt>
                <c:pt idx="7">
                  <c:v>0.49066666666666664</c:v>
                </c:pt>
              </c:numCache>
            </c:numRef>
          </c:val>
        </c:ser>
        <c:ser>
          <c:idx val="2"/>
          <c:order val="2"/>
          <c:tx>
            <c:strRef>
              <c:f>'Graphic Data'!$B$76</c:f>
              <c:strCache>
                <c:ptCount val="1"/>
                <c:pt idx="0">
                  <c:v>MC Transfer 4YR</c:v>
                </c:pt>
              </c:strCache>
            </c:strRef>
          </c:tx>
          <c:marker>
            <c:spPr>
              <a:ln>
                <a:solidFill>
                  <a:sysClr val="windowText" lastClr="000000"/>
                </a:solidFill>
              </a:ln>
            </c:spPr>
          </c:marker>
          <c:val>
            <c:numRef>
              <c:f>[0]!ds_graduation_transfer4</c:f>
              <c:numCache>
                <c:formatCode>0%</c:formatCode>
                <c:ptCount val="8"/>
                <c:pt idx="0">
                  <c:v>0.5</c:v>
                </c:pt>
                <c:pt idx="1">
                  <c:v>0.5220588235294118</c:v>
                </c:pt>
                <c:pt idx="2">
                  <c:v>0.50427350427350426</c:v>
                </c:pt>
                <c:pt idx="3">
                  <c:v>0.51162790697674421</c:v>
                </c:pt>
                <c:pt idx="4">
                  <c:v>0.58333333333333337</c:v>
                </c:pt>
                <c:pt idx="5">
                  <c:v>0.53636363636363638</c:v>
                </c:pt>
                <c:pt idx="6">
                  <c:v>0.6</c:v>
                </c:pt>
                <c:pt idx="7">
                  <c:v>0.64375000000000004</c:v>
                </c:pt>
              </c:numCache>
            </c:numRef>
          </c:val>
        </c:ser>
        <c:ser>
          <c:idx val="3"/>
          <c:order val="3"/>
          <c:tx>
            <c:strRef>
              <c:f>'Graphic Data'!$B$77</c:f>
              <c:strCache>
                <c:ptCount val="1"/>
                <c:pt idx="0">
                  <c:v>MC Transfers 6YR</c:v>
                </c:pt>
              </c:strCache>
            </c:strRef>
          </c:tx>
          <c:marker>
            <c:spPr>
              <a:ln>
                <a:solidFill>
                  <a:sysClr val="windowText" lastClr="000000"/>
                </a:solidFill>
              </a:ln>
            </c:spPr>
          </c:marker>
          <c:val>
            <c:numRef>
              <c:f>[0]!ds_graduation_transfer6</c:f>
              <c:numCache>
                <c:formatCode>0%</c:formatCode>
                <c:ptCount val="8"/>
                <c:pt idx="0">
                  <c:v>0.49193548387096775</c:v>
                </c:pt>
                <c:pt idx="1">
                  <c:v>0.4485294117647059</c:v>
                </c:pt>
                <c:pt idx="2">
                  <c:v>0.55263157894736847</c:v>
                </c:pt>
                <c:pt idx="3">
                  <c:v>0.55147058823529416</c:v>
                </c:pt>
                <c:pt idx="4">
                  <c:v>0.5641025641025641</c:v>
                </c:pt>
                <c:pt idx="5">
                  <c:v>0.5968992248062015</c:v>
                </c:pt>
                <c:pt idx="6">
                  <c:v>0.62962962962962965</c:v>
                </c:pt>
                <c:pt idx="7">
                  <c:v>0.67272727272727273</c:v>
                </c:pt>
              </c:numCache>
            </c:numRef>
          </c:val>
        </c:ser>
        <c:marker val="1"/>
        <c:axId val="74534272"/>
        <c:axId val="74548736"/>
      </c:lineChart>
      <c:catAx>
        <c:axId val="74534272"/>
        <c:scaling>
          <c:orientation val="minMax"/>
        </c:scaling>
        <c:axPos val="b"/>
        <c:tickLblPos val="nextTo"/>
        <c:crossAx val="74548736"/>
        <c:crosses val="autoZero"/>
        <c:auto val="1"/>
        <c:lblAlgn val="ctr"/>
        <c:lblOffset val="100"/>
      </c:catAx>
      <c:valAx>
        <c:axId val="74548736"/>
        <c:scaling>
          <c:orientation val="minMax"/>
          <c:max val="1"/>
          <c:min val="0.30000000000000032"/>
        </c:scaling>
        <c:axPos val="l"/>
        <c:majorGridlines/>
        <c:numFmt formatCode="0%" sourceLinked="1"/>
        <c:tickLblPos val="nextTo"/>
        <c:crossAx val="74534272"/>
        <c:crosses val="autoZero"/>
        <c:crossBetween val="between"/>
        <c:majorUnit val="0.1"/>
      </c:valAx>
      <c:spPr>
        <a:solidFill>
          <a:schemeClr val="bg1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0650540304083627"/>
          <c:y val="4.1957007846493775E-2"/>
          <c:w val="0.58774727483389033"/>
          <c:h val="0.35767835457291758"/>
        </c:manualLayout>
      </c:layout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</c:chart>
  <c:spPr>
    <a:solidFill>
      <a:srgbClr val="9BBB59">
        <a:lumMod val="40000"/>
        <a:lumOff val="60000"/>
      </a:srgbClr>
    </a:solidFill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8376191838222894"/>
          <c:y val="5.1826104168449877E-2"/>
          <c:w val="0.7955195842118955"/>
          <c:h val="0.71479058781990923"/>
        </c:manualLayout>
      </c:layout>
      <c:barChart>
        <c:barDir val="col"/>
        <c:grouping val="clustered"/>
        <c:ser>
          <c:idx val="0"/>
          <c:order val="0"/>
          <c:tx>
            <c:strRef>
              <c:f>'Graphic Data'!$B$80</c:f>
              <c:strCache>
                <c:ptCount val="1"/>
                <c:pt idx="0">
                  <c:v>Freshman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/>
          </c:spPr>
          <c:cat>
            <c:strRef>
              <c:f>[0]!dl_gpa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[0]!ds_gpa_fresh</c:f>
              <c:numCache>
                <c:formatCode>#,##0.00_);\(#,##0.00\)</c:formatCode>
                <c:ptCount val="8"/>
                <c:pt idx="0">
                  <c:v>3.31</c:v>
                </c:pt>
                <c:pt idx="1">
                  <c:v>3.22</c:v>
                </c:pt>
                <c:pt idx="2">
                  <c:v>3.24</c:v>
                </c:pt>
                <c:pt idx="3">
                  <c:v>3.29</c:v>
                </c:pt>
                <c:pt idx="4">
                  <c:v>3.18</c:v>
                </c:pt>
                <c:pt idx="5">
                  <c:v>3.1</c:v>
                </c:pt>
                <c:pt idx="6">
                  <c:v>3.12</c:v>
                </c:pt>
                <c:pt idx="7">
                  <c:v>3.19</c:v>
                </c:pt>
              </c:numCache>
            </c:numRef>
          </c:val>
        </c:ser>
        <c:axId val="74660864"/>
        <c:axId val="74667136"/>
      </c:barChart>
      <c:lineChart>
        <c:grouping val="standard"/>
        <c:ser>
          <c:idx val="1"/>
          <c:order val="1"/>
          <c:tx>
            <c:strRef>
              <c:f>'Graphic Data'!$B$81</c:f>
              <c:strCache>
                <c:ptCount val="1"/>
                <c:pt idx="0">
                  <c:v>Sophomore</c:v>
                </c:pt>
              </c:strCache>
            </c:strRef>
          </c:tx>
          <c:spPr>
            <a:ln w="22225"/>
          </c:spPr>
          <c:marker>
            <c:symbol val="square"/>
            <c:size val="4"/>
            <c:spPr>
              <a:ln>
                <a:solidFill>
                  <a:sysClr val="windowText" lastClr="000000"/>
                </a:solidFill>
              </a:ln>
            </c:spPr>
          </c:marker>
          <c:cat>
            <c:strRef>
              <c:f>[0]!dl_gpa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[0]!ds_gpa_soph</c:f>
              <c:numCache>
                <c:formatCode>#,##0.00_);\(#,##0.00\)</c:formatCode>
                <c:ptCount val="8"/>
                <c:pt idx="0">
                  <c:v>3.09</c:v>
                </c:pt>
                <c:pt idx="1">
                  <c:v>3.16</c:v>
                </c:pt>
                <c:pt idx="2">
                  <c:v>3.12</c:v>
                </c:pt>
                <c:pt idx="3">
                  <c:v>3.08</c:v>
                </c:pt>
                <c:pt idx="4">
                  <c:v>3.14</c:v>
                </c:pt>
                <c:pt idx="5">
                  <c:v>3.09</c:v>
                </c:pt>
                <c:pt idx="6">
                  <c:v>3.07</c:v>
                </c:pt>
                <c:pt idx="7">
                  <c:v>3.04</c:v>
                </c:pt>
              </c:numCache>
            </c:numRef>
          </c:val>
        </c:ser>
        <c:ser>
          <c:idx val="2"/>
          <c:order val="2"/>
          <c:tx>
            <c:strRef>
              <c:f>'Graphic Data'!$B$82</c:f>
              <c:strCache>
                <c:ptCount val="1"/>
                <c:pt idx="0">
                  <c:v>Junior</c:v>
                </c:pt>
              </c:strCache>
            </c:strRef>
          </c:tx>
          <c:spPr>
            <a:ln w="22225"/>
          </c:spPr>
          <c:marker>
            <c:spPr>
              <a:ln>
                <a:solidFill>
                  <a:sysClr val="windowText" lastClr="000000"/>
                </a:solidFill>
              </a:ln>
            </c:spPr>
          </c:marker>
          <c:cat>
            <c:strRef>
              <c:f>[0]!dl_gpa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[0]!ds_gpa_Jun</c:f>
              <c:numCache>
                <c:formatCode>General</c:formatCode>
                <c:ptCount val="8"/>
                <c:pt idx="0">
                  <c:v>3.13</c:v>
                </c:pt>
                <c:pt idx="1">
                  <c:v>3.11</c:v>
                </c:pt>
                <c:pt idx="2">
                  <c:v>3.13</c:v>
                </c:pt>
                <c:pt idx="3">
                  <c:v>3.1</c:v>
                </c:pt>
                <c:pt idx="4">
                  <c:v>3.12</c:v>
                </c:pt>
                <c:pt idx="5">
                  <c:v>3.12</c:v>
                </c:pt>
                <c:pt idx="6">
                  <c:v>3.1</c:v>
                </c:pt>
                <c:pt idx="7">
                  <c:v>3.11</c:v>
                </c:pt>
              </c:numCache>
            </c:numRef>
          </c:val>
        </c:ser>
        <c:ser>
          <c:idx val="3"/>
          <c:order val="3"/>
          <c:tx>
            <c:strRef>
              <c:f>'Graphic Data'!$B$83</c:f>
              <c:strCache>
                <c:ptCount val="1"/>
                <c:pt idx="0">
                  <c:v>Senior</c:v>
                </c:pt>
              </c:strCache>
            </c:strRef>
          </c:tx>
          <c:spPr>
            <a:ln w="22225"/>
          </c:spPr>
          <c:marker>
            <c:spPr>
              <a:ln>
                <a:solidFill>
                  <a:sysClr val="windowText" lastClr="000000"/>
                </a:solidFill>
              </a:ln>
            </c:spPr>
          </c:marker>
          <c:cat>
            <c:strRef>
              <c:f>[0]!dl_gpa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[0]!ds_gpa_sen</c:f>
              <c:numCache>
                <c:formatCode>#,##0.00_);\(#,##0.00\)</c:formatCode>
                <c:ptCount val="8"/>
                <c:pt idx="0">
                  <c:v>3.13</c:v>
                </c:pt>
                <c:pt idx="1">
                  <c:v>3.13</c:v>
                </c:pt>
                <c:pt idx="2">
                  <c:v>3.12</c:v>
                </c:pt>
                <c:pt idx="3">
                  <c:v>3.15</c:v>
                </c:pt>
                <c:pt idx="4">
                  <c:v>3.15</c:v>
                </c:pt>
                <c:pt idx="5">
                  <c:v>3.14</c:v>
                </c:pt>
                <c:pt idx="6">
                  <c:v>3.15</c:v>
                </c:pt>
                <c:pt idx="7">
                  <c:v>3.12</c:v>
                </c:pt>
              </c:numCache>
            </c:numRef>
          </c:val>
        </c:ser>
        <c:marker val="1"/>
        <c:axId val="74660864"/>
        <c:axId val="74667136"/>
      </c:lineChart>
      <c:catAx>
        <c:axId val="74660864"/>
        <c:scaling>
          <c:orientation val="minMax"/>
        </c:scaling>
        <c:axPos val="b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74667136"/>
        <c:crosses val="autoZero"/>
        <c:auto val="1"/>
        <c:lblAlgn val="ctr"/>
        <c:lblOffset val="100"/>
      </c:catAx>
      <c:valAx>
        <c:axId val="74667136"/>
        <c:scaling>
          <c:orientation val="minMax"/>
          <c:max val="3.4"/>
          <c:min val="3"/>
        </c:scaling>
        <c:axPos val="l"/>
        <c:majorGridlines/>
        <c:numFmt formatCode="#,##0.0_);\(#,##0.0\)" sourceLinked="0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74660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1278716827063198"/>
          <c:y val="5.3187158872942612E-2"/>
          <c:w val="0.47883347914843982"/>
          <c:h val="0.29300761187550517"/>
        </c:manualLayout>
      </c:layout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</c:chart>
  <c:spPr>
    <a:solidFill>
      <a:schemeClr val="accent3">
        <a:lumMod val="40000"/>
        <a:lumOff val="60000"/>
      </a:schemeClr>
    </a:solidFill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8810005892120626"/>
          <c:y val="4.1465107601446012E-2"/>
          <c:w val="0.59032800601990154"/>
          <c:h val="0.71595919824852716"/>
        </c:manualLayout>
      </c:layout>
      <c:barChart>
        <c:barDir val="col"/>
        <c:grouping val="clustered"/>
        <c:ser>
          <c:idx val="5"/>
          <c:order val="5"/>
          <c:tx>
            <c:strRef>
              <c:f>'Graphic Data'!$B$20</c:f>
              <c:strCache>
                <c:ptCount val="1"/>
                <c:pt idx="0">
                  <c:v>RCA &amp; Other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34925"/>
          </c:spPr>
          <c:val>
            <c:numRef>
              <c:f>[0]!ds_enrollment_other</c:f>
              <c:numCache>
                <c:formatCode>0%</c:formatCode>
                <c:ptCount val="8"/>
                <c:pt idx="0">
                  <c:v>0.50308261405672006</c:v>
                </c:pt>
                <c:pt idx="1">
                  <c:v>0.44994126093199321</c:v>
                </c:pt>
                <c:pt idx="2">
                  <c:v>0.46790138906269552</c:v>
                </c:pt>
                <c:pt idx="3">
                  <c:v>0.39866984565190111</c:v>
                </c:pt>
                <c:pt idx="4">
                  <c:v>0.40256636054849665</c:v>
                </c:pt>
                <c:pt idx="5">
                  <c:v>0.38106050487511689</c:v>
                </c:pt>
                <c:pt idx="6">
                  <c:v>0.37533912099837224</c:v>
                </c:pt>
                <c:pt idx="7">
                  <c:v>0.38831341301460826</c:v>
                </c:pt>
              </c:numCache>
            </c:numRef>
          </c:val>
        </c:ser>
        <c:axId val="74759168"/>
        <c:axId val="74756864"/>
      </c:barChart>
      <c:lineChart>
        <c:grouping val="standard"/>
        <c:ser>
          <c:idx val="0"/>
          <c:order val="0"/>
          <c:tx>
            <c:strRef>
              <c:f>'Graphic Data'!$B$15</c:f>
              <c:strCache>
                <c:ptCount val="1"/>
                <c:pt idx="0">
                  <c:v>MC UG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[0]!dl_enrollment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[0]!ds_enrollment_MCUG</c:f>
              <c:numCache>
                <c:formatCode>#,##0_);\(#,##0\)</c:formatCode>
                <c:ptCount val="8"/>
                <c:pt idx="0">
                  <c:v>1424</c:v>
                </c:pt>
                <c:pt idx="1">
                  <c:v>1439</c:v>
                </c:pt>
                <c:pt idx="2">
                  <c:v>1396</c:v>
                </c:pt>
                <c:pt idx="3">
                  <c:v>1655</c:v>
                </c:pt>
                <c:pt idx="4">
                  <c:v>1721</c:v>
                </c:pt>
                <c:pt idx="5">
                  <c:v>1685</c:v>
                </c:pt>
                <c:pt idx="6">
                  <c:v>1683</c:v>
                </c:pt>
                <c:pt idx="7">
                  <c:v>1548</c:v>
                </c:pt>
              </c:numCache>
            </c:numRef>
          </c:val>
        </c:ser>
        <c:ser>
          <c:idx val="1"/>
          <c:order val="1"/>
          <c:tx>
            <c:strRef>
              <c:f>'Graphic Data'!$B$16</c:f>
              <c:strCache>
                <c:ptCount val="1"/>
                <c:pt idx="0">
                  <c:v>MC GR</c:v>
                </c:pt>
              </c:strCache>
            </c:strRef>
          </c:tx>
          <c:spPr>
            <a:ln w="22225"/>
          </c:spPr>
          <c:marker>
            <c:symbol val="square"/>
            <c:size val="4"/>
            <c:spPr>
              <a:ln>
                <a:solidFill>
                  <a:sysClr val="windowText" lastClr="000000"/>
                </a:solidFill>
              </a:ln>
            </c:spPr>
          </c:marker>
          <c:cat>
            <c:strRef>
              <c:f>[0]!dl_gpa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[0]!ds_enrollment_MCGR</c:f>
              <c:numCache>
                <c:formatCode>#,##0_);\(#,##0\)</c:formatCode>
                <c:ptCount val="8"/>
                <c:pt idx="0">
                  <c:v>1154</c:v>
                </c:pt>
                <c:pt idx="1">
                  <c:v>1308</c:v>
                </c:pt>
                <c:pt idx="2">
                  <c:v>1327</c:v>
                </c:pt>
                <c:pt idx="3">
                  <c:v>1500</c:v>
                </c:pt>
                <c:pt idx="4">
                  <c:v>1438</c:v>
                </c:pt>
                <c:pt idx="5">
                  <c:v>1419</c:v>
                </c:pt>
                <c:pt idx="6">
                  <c:v>1464</c:v>
                </c:pt>
                <c:pt idx="7">
                  <c:v>1566</c:v>
                </c:pt>
              </c:numCache>
            </c:numRef>
          </c:val>
        </c:ser>
        <c:ser>
          <c:idx val="2"/>
          <c:order val="2"/>
          <c:tx>
            <c:strRef>
              <c:f>'Graphic Data'!$B$17</c:f>
              <c:strCache>
                <c:ptCount val="1"/>
                <c:pt idx="0">
                  <c:v>CAPA</c:v>
                </c:pt>
              </c:strCache>
            </c:strRef>
          </c:tx>
          <c:spPr>
            <a:ln w="22225"/>
          </c:spPr>
          <c:marker>
            <c:spPr>
              <a:ln>
                <a:solidFill>
                  <a:sysClr val="windowText" lastClr="000000"/>
                </a:solidFill>
              </a:ln>
            </c:spPr>
          </c:marker>
          <c:cat>
            <c:strRef>
              <c:f>[0]!dl_gpa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[0]!ds_enrollment_CAPA</c:f>
              <c:numCache>
                <c:formatCode>#,##0_);\(#,##0\)</c:formatCode>
                <c:ptCount val="8"/>
                <c:pt idx="0">
                  <c:v>804</c:v>
                </c:pt>
                <c:pt idx="1">
                  <c:v>785</c:v>
                </c:pt>
                <c:pt idx="2">
                  <c:v>787</c:v>
                </c:pt>
                <c:pt idx="3">
                  <c:v>839</c:v>
                </c:pt>
                <c:pt idx="4">
                  <c:v>817</c:v>
                </c:pt>
                <c:pt idx="5">
                  <c:v>756</c:v>
                </c:pt>
                <c:pt idx="6">
                  <c:v>695</c:v>
                </c:pt>
                <c:pt idx="7">
                  <c:v>673</c:v>
                </c:pt>
              </c:numCache>
            </c:numRef>
          </c:val>
        </c:ser>
        <c:ser>
          <c:idx val="3"/>
          <c:order val="3"/>
          <c:tx>
            <c:strRef>
              <c:f>'Graphic Data'!$B$18</c:f>
              <c:strCache>
                <c:ptCount val="1"/>
                <c:pt idx="0">
                  <c:v>Doctoral</c:v>
                </c:pt>
              </c:strCache>
            </c:strRef>
          </c:tx>
          <c:spPr>
            <a:ln w="22225"/>
          </c:spPr>
          <c:marker>
            <c:spPr>
              <a:noFill/>
              <a:ln>
                <a:solidFill>
                  <a:sysClr val="windowText" lastClr="000000"/>
                </a:solidFill>
              </a:ln>
            </c:spPr>
          </c:marker>
          <c:cat>
            <c:strRef>
              <c:f>[0]!dl_gpa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[0]!ds_enrollment_doctoral</c:f>
              <c:numCache>
                <c:formatCode>#,##0_);\(#,##0\)</c:formatCode>
                <c:ptCount val="8"/>
                <c:pt idx="0">
                  <c:v>516</c:v>
                </c:pt>
                <c:pt idx="1">
                  <c:v>555</c:v>
                </c:pt>
                <c:pt idx="2">
                  <c:v>547</c:v>
                </c:pt>
                <c:pt idx="3">
                  <c:v>577</c:v>
                </c:pt>
                <c:pt idx="4">
                  <c:v>518</c:v>
                </c:pt>
                <c:pt idx="5">
                  <c:v>511</c:v>
                </c:pt>
                <c:pt idx="6">
                  <c:v>457</c:v>
                </c:pt>
                <c:pt idx="7">
                  <c:v>470</c:v>
                </c:pt>
              </c:numCache>
            </c:numRef>
          </c:val>
        </c:ser>
        <c:ser>
          <c:idx val="4"/>
          <c:order val="4"/>
          <c:tx>
            <c:strRef>
              <c:f>'Graphic Data'!$B$19</c:f>
              <c:strCache>
                <c:ptCount val="1"/>
                <c:pt idx="0">
                  <c:v>Law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star"/>
            <c:size val="4"/>
            <c:spPr>
              <a:solidFill>
                <a:schemeClr val="bg2">
                  <a:lumMod val="50000"/>
                </a:schemeClr>
              </a:solidFill>
              <a:ln>
                <a:solidFill>
                  <a:sysClr val="windowText" lastClr="000000"/>
                </a:solidFill>
              </a:ln>
            </c:spPr>
          </c:marker>
          <c:val>
            <c:numRef>
              <c:f>[0]!ds_enrollment_law</c:f>
              <c:numCache>
                <c:formatCode>#,##0_);\(#,##0\)</c:formatCode>
                <c:ptCount val="8"/>
                <c:pt idx="0">
                  <c:v>132</c:v>
                </c:pt>
                <c:pt idx="1">
                  <c:v>127</c:v>
                </c:pt>
                <c:pt idx="2">
                  <c:v>195</c:v>
                </c:pt>
                <c:pt idx="3">
                  <c:v>221</c:v>
                </c:pt>
                <c:pt idx="4">
                  <c:v>255</c:v>
                </c:pt>
                <c:pt idx="5">
                  <c:v>263</c:v>
                </c:pt>
                <c:pt idx="6">
                  <c:v>306</c:v>
                </c:pt>
                <c:pt idx="7">
                  <c:v>349</c:v>
                </c:pt>
              </c:numCache>
            </c:numRef>
          </c:val>
        </c:ser>
        <c:marker val="1"/>
        <c:axId val="74740864"/>
        <c:axId val="74742784"/>
      </c:lineChart>
      <c:catAx>
        <c:axId val="74740864"/>
        <c:scaling>
          <c:orientation val="minMax"/>
        </c:scaling>
        <c:axPos val="b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74742784"/>
        <c:crosses val="autoZero"/>
        <c:auto val="1"/>
        <c:lblAlgn val="ctr"/>
        <c:lblOffset val="100"/>
      </c:catAx>
      <c:valAx>
        <c:axId val="74742784"/>
        <c:scaling>
          <c:orientation val="minMax"/>
          <c:max val="3000"/>
        </c:scaling>
        <c:axPos val="l"/>
        <c:majorGridlines/>
        <c:numFmt formatCode="#,##0_);\(#,##0\)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4740864"/>
        <c:crosses val="autoZero"/>
        <c:crossBetween val="between"/>
      </c:valAx>
      <c:valAx>
        <c:axId val="74756864"/>
        <c:scaling>
          <c:orientation val="minMax"/>
          <c:max val="0.60000000000000064"/>
          <c:min val="0"/>
        </c:scaling>
        <c:axPos val="r"/>
        <c:title>
          <c:tx>
            <c:rich>
              <a:bodyPr rot="-5400000" vert="horz"/>
              <a:lstStyle/>
              <a:p>
                <a:pPr>
                  <a:defRPr sz="800" b="1"/>
                </a:pPr>
                <a:r>
                  <a:rPr lang="en-US" sz="800" b="1"/>
                  <a:t>Other (% of Total Enrolled)</a:t>
                </a:r>
              </a:p>
            </c:rich>
          </c:tx>
          <c:layout/>
        </c:title>
        <c:numFmt formatCode="0%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4759168"/>
        <c:crosses val="max"/>
        <c:crossBetween val="between"/>
        <c:majorUnit val="0.1"/>
        <c:minorUnit val="2.0000000000000011E-2"/>
      </c:valAx>
      <c:catAx>
        <c:axId val="74759168"/>
        <c:scaling>
          <c:orientation val="minMax"/>
        </c:scaling>
        <c:delete val="1"/>
        <c:axPos val="b"/>
        <c:tickLblPos val="none"/>
        <c:crossAx val="74756864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38675168107971641"/>
          <c:y val="6.8760339863022449E-2"/>
          <c:w val="0.42808840836539647"/>
          <c:h val="0.48304830864248732"/>
        </c:manualLayout>
      </c:layout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5754163472928742"/>
          <c:y val="3.99695498856548E-2"/>
          <c:w val="0.62786611850509921"/>
          <c:h val="0.76107735990743752"/>
        </c:manualLayout>
      </c:layout>
      <c:barChart>
        <c:barDir val="col"/>
        <c:grouping val="clustered"/>
        <c:ser>
          <c:idx val="0"/>
          <c:order val="0"/>
          <c:tx>
            <c:strRef>
              <c:f>'Graphic Data'!$B$44</c:f>
              <c:strCache>
                <c:ptCount val="1"/>
                <c:pt idx="0">
                  <c:v>FTFT Freshman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</c:spPr>
          <c:cat>
            <c:strRef>
              <c:f>[0]!dl_applicant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[0]!ds_applicant_freshman</c:f>
              <c:numCache>
                <c:formatCode>_(* #,##0_);_(* \(#,##0\);_(* "-"??_);_(@_)</c:formatCode>
                <c:ptCount val="8"/>
                <c:pt idx="0">
                  <c:v>1165</c:v>
                </c:pt>
                <c:pt idx="1">
                  <c:v>1261</c:v>
                </c:pt>
                <c:pt idx="2">
                  <c:v>1399</c:v>
                </c:pt>
                <c:pt idx="3">
                  <c:v>1654</c:v>
                </c:pt>
                <c:pt idx="4">
                  <c:v>1638</c:v>
                </c:pt>
                <c:pt idx="5">
                  <c:v>1609</c:v>
                </c:pt>
                <c:pt idx="6">
                  <c:v>1540</c:v>
                </c:pt>
                <c:pt idx="7">
                  <c:v>1659</c:v>
                </c:pt>
              </c:numCache>
            </c:numRef>
          </c:val>
        </c:ser>
        <c:axId val="74599424"/>
        <c:axId val="74597504"/>
      </c:barChart>
      <c:lineChart>
        <c:grouping val="standard"/>
        <c:ser>
          <c:idx val="1"/>
          <c:order val="1"/>
          <c:tx>
            <c:strRef>
              <c:f>'Graphic Data'!$B$45</c:f>
              <c:strCache>
                <c:ptCount val="1"/>
                <c:pt idx="0">
                  <c:v>MC Transfers</c:v>
                </c:pt>
              </c:strCache>
            </c:strRef>
          </c:tx>
          <c:spPr>
            <a:ln w="22225"/>
          </c:spPr>
          <c:marker>
            <c:symbol val="square"/>
            <c:size val="4"/>
            <c:spPr>
              <a:ln>
                <a:solidFill>
                  <a:sysClr val="windowText" lastClr="000000"/>
                </a:solidFill>
              </a:ln>
            </c:spPr>
          </c:marker>
          <c:cat>
            <c:strRef>
              <c:f>[0]!dl_applicant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[0]!ds_applicant_mctransfer</c:f>
              <c:numCache>
                <c:formatCode>_(* #,##0_);_(* \(#,##0\);_(*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449</c:v>
                </c:pt>
                <c:pt idx="4">
                  <c:v>406</c:v>
                </c:pt>
                <c:pt idx="5">
                  <c:v>379</c:v>
                </c:pt>
                <c:pt idx="6">
                  <c:v>335</c:v>
                </c:pt>
                <c:pt idx="7">
                  <c:v>312</c:v>
                </c:pt>
              </c:numCache>
            </c:numRef>
          </c:val>
        </c:ser>
        <c:ser>
          <c:idx val="2"/>
          <c:order val="2"/>
          <c:tx>
            <c:strRef>
              <c:f>'Graphic Data'!$B$46</c:f>
              <c:strCache>
                <c:ptCount val="1"/>
                <c:pt idx="0">
                  <c:v>CAPA</c:v>
                </c:pt>
              </c:strCache>
            </c:strRef>
          </c:tx>
          <c:spPr>
            <a:ln w="22225"/>
          </c:spPr>
          <c:marker>
            <c:spPr>
              <a:ln>
                <a:solidFill>
                  <a:sysClr val="windowText" lastClr="000000"/>
                </a:solidFill>
              </a:ln>
            </c:spPr>
          </c:marker>
          <c:cat>
            <c:strRef>
              <c:f>[0]!dl_applicant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[0]!ds_applicant_CAPA</c:f>
              <c:numCache>
                <c:formatCode>_(* #,##0_);_(* \(#,##0\);_(*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206</c:v>
                </c:pt>
                <c:pt idx="4">
                  <c:v>150</c:v>
                </c:pt>
                <c:pt idx="5">
                  <c:v>160</c:v>
                </c:pt>
                <c:pt idx="6">
                  <c:v>111</c:v>
                </c:pt>
                <c:pt idx="7">
                  <c:v>114</c:v>
                </c:pt>
              </c:numCache>
            </c:numRef>
          </c:val>
        </c:ser>
        <c:ser>
          <c:idx val="3"/>
          <c:order val="3"/>
          <c:tx>
            <c:strRef>
              <c:f>'Graphic Data'!$B$47</c:f>
              <c:strCache>
                <c:ptCount val="1"/>
                <c:pt idx="0">
                  <c:v>RCA Transfers</c:v>
                </c:pt>
              </c:strCache>
            </c:strRef>
          </c:tx>
          <c:spPr>
            <a:ln w="22225"/>
          </c:spPr>
          <c:marker>
            <c:spPr>
              <a:ln>
                <a:solidFill>
                  <a:sysClr val="windowText" lastClr="000000"/>
                </a:solidFill>
              </a:ln>
            </c:spPr>
          </c:marker>
          <c:cat>
            <c:strRef>
              <c:f>[0]!dl_applicant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[0]!ds_applicant_rcatransfer</c:f>
              <c:numCache>
                <c:formatCode>_(* #,##0_);_(* \(#,##0\);_(*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528</c:v>
                </c:pt>
                <c:pt idx="4">
                  <c:v>388</c:v>
                </c:pt>
                <c:pt idx="5">
                  <c:v>304</c:v>
                </c:pt>
                <c:pt idx="6">
                  <c:v>466</c:v>
                </c:pt>
                <c:pt idx="7">
                  <c:v>267</c:v>
                </c:pt>
              </c:numCache>
            </c:numRef>
          </c:val>
        </c:ser>
        <c:marker val="1"/>
        <c:axId val="74589696"/>
        <c:axId val="74591616"/>
      </c:lineChart>
      <c:catAx>
        <c:axId val="74589696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4591616"/>
        <c:crosses val="autoZero"/>
        <c:auto val="1"/>
        <c:lblAlgn val="ctr"/>
        <c:lblOffset val="100"/>
      </c:catAx>
      <c:valAx>
        <c:axId val="74591616"/>
        <c:scaling>
          <c:orientation val="minMax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4589696"/>
        <c:crosses val="autoZero"/>
        <c:crossBetween val="between"/>
      </c:valAx>
      <c:valAx>
        <c:axId val="74597504"/>
        <c:scaling>
          <c:orientation val="minMax"/>
          <c:max val="1800"/>
        </c:scaling>
        <c:axPos val="r"/>
        <c:title>
          <c:tx>
            <c:rich>
              <a:bodyPr rot="-5400000" vert="horz"/>
              <a:lstStyle/>
              <a:p>
                <a:pPr>
                  <a:defRPr sz="800"/>
                </a:pPr>
                <a:r>
                  <a:rPr lang="en-US" sz="800"/>
                  <a:t>Freshman</a:t>
                </a:r>
              </a:p>
            </c:rich>
          </c:tx>
          <c:layout/>
        </c:title>
        <c:numFmt formatCode="_(* #,##0_);_(* \(#,##0\);_(* &quot;-&quot;??_);_(@_)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4599424"/>
        <c:crosses val="max"/>
        <c:crossBetween val="between"/>
        <c:majorUnit val="300"/>
        <c:minorUnit val="100"/>
      </c:valAx>
      <c:catAx>
        <c:axId val="74599424"/>
        <c:scaling>
          <c:orientation val="minMax"/>
        </c:scaling>
        <c:delete val="1"/>
        <c:axPos val="b"/>
        <c:tickLblPos val="none"/>
        <c:crossAx val="74597504"/>
        <c:crossesAt val="0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11588739460664743"/>
          <c:y val="9.5505869489688394E-2"/>
          <c:w val="0.53891157410633406"/>
          <c:h val="0.40028551377030142"/>
        </c:manualLayout>
      </c:layout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</c:chart>
  <c:spPr>
    <a:solidFill>
      <a:schemeClr val="accent3">
        <a:lumMod val="40000"/>
        <a:lumOff val="60000"/>
      </a:schemeClr>
    </a:solidFill>
    <a:ln>
      <a:noFill/>
    </a:ln>
  </c:spPr>
  <c:txPr>
    <a:bodyPr/>
    <a:lstStyle/>
    <a:p>
      <a:pPr>
        <a:defRPr sz="1100"/>
      </a:pPr>
      <a:endParaRPr lang="en-US"/>
    </a:p>
  </c:txPr>
  <c:printSettings>
    <c:headerFooter/>
    <c:pageMargins b="0.75000000000000322" l="0.70000000000000095" r="0.70000000000000095" t="0.75000000000000322" header="0.30000000000000032" footer="0.30000000000000032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8.7866003050988517E-2"/>
          <c:y val="3.9969446655730205E-2"/>
          <c:w val="0.62786611850509944"/>
          <c:h val="0.76107735990743752"/>
        </c:manualLayout>
      </c:layout>
      <c:barChart>
        <c:barDir val="col"/>
        <c:grouping val="clustered"/>
        <c:ser>
          <c:idx val="0"/>
          <c:order val="0"/>
          <c:tx>
            <c:strRef>
              <c:f>'Graphic Data'!$B$44</c:f>
              <c:strCache>
                <c:ptCount val="1"/>
                <c:pt idx="0">
                  <c:v>FTFT Freshman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</c:spPr>
          <c:cat>
            <c:strRef>
              <c:f>[0]!dl_applicant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[0]!ds_new_freshman</c:f>
              <c:numCache>
                <c:formatCode>_(* #,##0_);_(* \(#,##0\);_(* "-"??_);_(@_)</c:formatCode>
                <c:ptCount val="8"/>
                <c:pt idx="0">
                  <c:v>311</c:v>
                </c:pt>
                <c:pt idx="1">
                  <c:v>299</c:v>
                </c:pt>
                <c:pt idx="2">
                  <c:v>290</c:v>
                </c:pt>
                <c:pt idx="3">
                  <c:v>379</c:v>
                </c:pt>
                <c:pt idx="4">
                  <c:v>342</c:v>
                </c:pt>
                <c:pt idx="5">
                  <c:v>319</c:v>
                </c:pt>
                <c:pt idx="6">
                  <c:v>335</c:v>
                </c:pt>
                <c:pt idx="7">
                  <c:v>302</c:v>
                </c:pt>
              </c:numCache>
            </c:numRef>
          </c:val>
        </c:ser>
        <c:axId val="74812416"/>
        <c:axId val="74810496"/>
      </c:barChart>
      <c:lineChart>
        <c:grouping val="standard"/>
        <c:ser>
          <c:idx val="1"/>
          <c:order val="1"/>
          <c:tx>
            <c:strRef>
              <c:f>'Graphic Data'!$B$45</c:f>
              <c:strCache>
                <c:ptCount val="1"/>
                <c:pt idx="0">
                  <c:v>MC Transfers</c:v>
                </c:pt>
              </c:strCache>
            </c:strRef>
          </c:tx>
          <c:spPr>
            <a:ln w="22225"/>
          </c:spPr>
          <c:marker>
            <c:symbol val="square"/>
            <c:size val="4"/>
            <c:spPr>
              <a:ln>
                <a:solidFill>
                  <a:sysClr val="windowText" lastClr="000000"/>
                </a:solidFill>
              </a:ln>
            </c:spPr>
          </c:marker>
          <c:cat>
            <c:strRef>
              <c:f>[0]!dl_applicant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[0]!ds_new_mctransfer</c:f>
              <c:numCache>
                <c:formatCode>_(* #,##0_);_(* \(#,##0\);_(* "-"??_);_(@_)</c:formatCode>
                <c:ptCount val="8"/>
                <c:pt idx="0">
                  <c:v>119</c:v>
                </c:pt>
                <c:pt idx="1">
                  <c:v>107</c:v>
                </c:pt>
                <c:pt idx="2">
                  <c:v>109</c:v>
                </c:pt>
                <c:pt idx="3">
                  <c:v>153</c:v>
                </c:pt>
                <c:pt idx="4">
                  <c:v>130</c:v>
                </c:pt>
                <c:pt idx="5">
                  <c:v>148</c:v>
                </c:pt>
                <c:pt idx="6">
                  <c:v>136</c:v>
                </c:pt>
                <c:pt idx="7">
                  <c:v>118</c:v>
                </c:pt>
              </c:numCache>
            </c:numRef>
          </c:val>
        </c:ser>
        <c:ser>
          <c:idx val="2"/>
          <c:order val="2"/>
          <c:tx>
            <c:strRef>
              <c:f>'Graphic Data'!$B$46</c:f>
              <c:strCache>
                <c:ptCount val="1"/>
                <c:pt idx="0">
                  <c:v>CAPA</c:v>
                </c:pt>
              </c:strCache>
            </c:strRef>
          </c:tx>
          <c:spPr>
            <a:ln w="22225"/>
          </c:spPr>
          <c:marker>
            <c:spPr>
              <a:ln>
                <a:solidFill>
                  <a:sysClr val="windowText" lastClr="000000"/>
                </a:solidFill>
              </a:ln>
            </c:spPr>
          </c:marker>
          <c:cat>
            <c:strRef>
              <c:f>[0]!dl_applicant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[0]!ds_new_CAPA</c:f>
              <c:numCache>
                <c:formatCode>_(* #,##0_);_(* \(#,##0\);_(* "-"??_);_(@_)</c:formatCode>
                <c:ptCount val="8"/>
                <c:pt idx="0">
                  <c:v>156</c:v>
                </c:pt>
                <c:pt idx="1">
                  <c:v>150</c:v>
                </c:pt>
                <c:pt idx="2">
                  <c:v>102</c:v>
                </c:pt>
                <c:pt idx="3">
                  <c:v>179</c:v>
                </c:pt>
                <c:pt idx="4">
                  <c:v>134</c:v>
                </c:pt>
                <c:pt idx="5">
                  <c:v>154</c:v>
                </c:pt>
                <c:pt idx="6">
                  <c:v>140</c:v>
                </c:pt>
                <c:pt idx="7">
                  <c:v>114</c:v>
                </c:pt>
              </c:numCache>
            </c:numRef>
          </c:val>
        </c:ser>
        <c:ser>
          <c:idx val="3"/>
          <c:order val="3"/>
          <c:tx>
            <c:strRef>
              <c:f>'Graphic Data'!$B$47</c:f>
              <c:strCache>
                <c:ptCount val="1"/>
                <c:pt idx="0">
                  <c:v>RCA Transfers</c:v>
                </c:pt>
              </c:strCache>
            </c:strRef>
          </c:tx>
          <c:spPr>
            <a:ln w="22225"/>
          </c:spPr>
          <c:marker>
            <c:spPr>
              <a:ln>
                <a:solidFill>
                  <a:sysClr val="windowText" lastClr="000000"/>
                </a:solidFill>
              </a:ln>
            </c:spPr>
          </c:marker>
          <c:cat>
            <c:strRef>
              <c:f>[0]!dl_applicant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[0]!ds_new_rcatransfer</c:f>
              <c:numCache>
                <c:formatCode>_(* #,##0_);_(* \(#,##0\);_(* "-"??_);_(@_)</c:formatCode>
                <c:ptCount val="8"/>
                <c:pt idx="0">
                  <c:v>167</c:v>
                </c:pt>
                <c:pt idx="1">
                  <c:v>225</c:v>
                </c:pt>
                <c:pt idx="2">
                  <c:v>242</c:v>
                </c:pt>
                <c:pt idx="3">
                  <c:v>296</c:v>
                </c:pt>
                <c:pt idx="4">
                  <c:v>321</c:v>
                </c:pt>
                <c:pt idx="5">
                  <c:v>301</c:v>
                </c:pt>
                <c:pt idx="6">
                  <c:v>263</c:v>
                </c:pt>
                <c:pt idx="7">
                  <c:v>256</c:v>
                </c:pt>
              </c:numCache>
            </c:numRef>
          </c:val>
        </c:ser>
        <c:marker val="1"/>
        <c:axId val="74794496"/>
        <c:axId val="74796416"/>
      </c:lineChart>
      <c:catAx>
        <c:axId val="74794496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4796416"/>
        <c:crosses val="autoZero"/>
        <c:auto val="1"/>
        <c:lblAlgn val="ctr"/>
        <c:lblOffset val="100"/>
      </c:catAx>
      <c:valAx>
        <c:axId val="74796416"/>
        <c:scaling>
          <c:orientation val="minMax"/>
          <c:max val="600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4794496"/>
        <c:crosses val="autoZero"/>
        <c:crossBetween val="between"/>
      </c:valAx>
      <c:valAx>
        <c:axId val="74810496"/>
        <c:scaling>
          <c:orientation val="minMax"/>
          <c:max val="1800"/>
        </c:scaling>
        <c:axPos val="r"/>
        <c:title>
          <c:tx>
            <c:rich>
              <a:bodyPr rot="-5400000" vert="horz"/>
              <a:lstStyle/>
              <a:p>
                <a:pPr>
                  <a:defRPr sz="800"/>
                </a:pPr>
                <a:r>
                  <a:rPr lang="en-US" sz="800"/>
                  <a:t>Freshman</a:t>
                </a:r>
              </a:p>
            </c:rich>
          </c:tx>
          <c:layout/>
        </c:title>
        <c:numFmt formatCode="_(* #,##0_);_(* \(#,##0\);_(* &quot;-&quot;??_);_(@_)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4812416"/>
        <c:crosses val="max"/>
        <c:crossBetween val="between"/>
        <c:majorUnit val="300"/>
        <c:minorUnit val="100"/>
      </c:valAx>
      <c:catAx>
        <c:axId val="74812416"/>
        <c:scaling>
          <c:orientation val="minMax"/>
        </c:scaling>
        <c:delete val="1"/>
        <c:axPos val="b"/>
        <c:tickLblPos val="none"/>
        <c:crossAx val="74810496"/>
        <c:crossesAt val="0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16898473973939113"/>
          <c:y val="7.9508144519907467E-2"/>
          <c:w val="0.53891157410633406"/>
          <c:h val="0.3522041547268922"/>
        </c:manualLayout>
      </c:layout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</c:chart>
  <c:spPr>
    <a:solidFill>
      <a:schemeClr val="accent3">
        <a:lumMod val="40000"/>
        <a:lumOff val="60000"/>
      </a:schemeClr>
    </a:solidFill>
    <a:ln>
      <a:noFill/>
    </a:ln>
  </c:spPr>
  <c:txPr>
    <a:bodyPr/>
    <a:lstStyle/>
    <a:p>
      <a:pPr>
        <a:defRPr sz="1100"/>
      </a:pPr>
      <a:endParaRPr lang="en-US"/>
    </a:p>
  </c:txPr>
  <c:printSettings>
    <c:headerFooter/>
    <c:pageMargins b="0.75000000000000344" l="0.70000000000000095" r="0.70000000000000095" t="0.75000000000000344" header="0.30000000000000032" footer="0.30000000000000032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9223759751924521"/>
          <c:y val="4.3584784010315923E-2"/>
          <c:w val="0.60872944845492394"/>
          <c:h val="0.83716140910403269"/>
        </c:manualLayout>
      </c:layout>
      <c:barChart>
        <c:barDir val="col"/>
        <c:grouping val="clustered"/>
        <c:ser>
          <c:idx val="1"/>
          <c:order val="1"/>
          <c:tx>
            <c:strRef>
              <c:f>'Graphic Data'!$B$65</c:f>
              <c:strCache>
                <c:ptCount val="1"/>
                <c:pt idx="0">
                  <c:v>SAT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2225"/>
          </c:spPr>
          <c:cat>
            <c:strRef>
              <c:f>[0]!dl_freshman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[0]!ds_freshman_SAT</c:f>
              <c:numCache>
                <c:formatCode>_(* #,##0_);_(* \(#,##0\);_(* "-"??_);_(@_)</c:formatCode>
                <c:ptCount val="8"/>
                <c:pt idx="0">
                  <c:v>1006</c:v>
                </c:pt>
                <c:pt idx="1">
                  <c:v>1011</c:v>
                </c:pt>
                <c:pt idx="2">
                  <c:v>1003</c:v>
                </c:pt>
                <c:pt idx="3">
                  <c:v>1010</c:v>
                </c:pt>
                <c:pt idx="4">
                  <c:v>1027</c:v>
                </c:pt>
                <c:pt idx="5">
                  <c:v>1009</c:v>
                </c:pt>
                <c:pt idx="6">
                  <c:v>976.76</c:v>
                </c:pt>
                <c:pt idx="7">
                  <c:v>991.69172932330832</c:v>
                </c:pt>
              </c:numCache>
            </c:numRef>
          </c:val>
        </c:ser>
        <c:axId val="74829824"/>
        <c:axId val="74831744"/>
      </c:barChart>
      <c:lineChart>
        <c:grouping val="standard"/>
        <c:ser>
          <c:idx val="0"/>
          <c:order val="0"/>
          <c:tx>
            <c:strRef>
              <c:f>'Graphic Data'!$B$64</c:f>
              <c:strCache>
                <c:ptCount val="1"/>
                <c:pt idx="0">
                  <c:v>GPA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ln>
                <a:solidFill>
                  <a:sysClr val="windowText" lastClr="000000"/>
                </a:solidFill>
              </a:ln>
            </c:spPr>
          </c:marker>
          <c:cat>
            <c:strRef>
              <c:f>[0]!dl_freshman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[0]!ds_freshman_gpa</c:f>
              <c:numCache>
                <c:formatCode>_(* #,##0.00_);_(* \(#,##0.00\);_(* "-"??_);_(@_)</c:formatCode>
                <c:ptCount val="8"/>
                <c:pt idx="0">
                  <c:v>3.44</c:v>
                </c:pt>
                <c:pt idx="1">
                  <c:v>3.48</c:v>
                </c:pt>
                <c:pt idx="2">
                  <c:v>3.49</c:v>
                </c:pt>
                <c:pt idx="3">
                  <c:v>3.48</c:v>
                </c:pt>
                <c:pt idx="4">
                  <c:v>3.46</c:v>
                </c:pt>
                <c:pt idx="5">
                  <c:v>3.45</c:v>
                </c:pt>
                <c:pt idx="6">
                  <c:v>3.3478143712574906</c:v>
                </c:pt>
                <c:pt idx="7">
                  <c:v>3.3502622377622364</c:v>
                </c:pt>
              </c:numCache>
            </c:numRef>
          </c:val>
        </c:ser>
        <c:marker val="1"/>
        <c:axId val="74839936"/>
        <c:axId val="74838016"/>
      </c:lineChart>
      <c:catAx>
        <c:axId val="74829824"/>
        <c:scaling>
          <c:orientation val="minMax"/>
        </c:scaling>
        <c:axPos val="b"/>
        <c:majorTickMark val="none"/>
        <c:tickLblPos val="nextTo"/>
        <c:crossAx val="74831744"/>
        <c:crosses val="autoZero"/>
        <c:auto val="1"/>
        <c:lblAlgn val="ctr"/>
        <c:lblOffset val="100"/>
      </c:catAx>
      <c:valAx>
        <c:axId val="748317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GPA</a:t>
                </a:r>
              </a:p>
            </c:rich>
          </c:tx>
          <c:layout>
            <c:manualLayout>
              <c:xMode val="edge"/>
              <c:yMode val="edge"/>
              <c:x val="0.92371966615002565"/>
              <c:y val="0.38195264503911702"/>
            </c:manualLayout>
          </c:layout>
        </c:title>
        <c:numFmt formatCode="#,##0" sourceLinked="0"/>
        <c:majorTickMark val="none"/>
        <c:tickLblPos val="nextTo"/>
        <c:crossAx val="74829824"/>
        <c:crosses val="autoZero"/>
        <c:crossBetween val="between"/>
      </c:valAx>
      <c:valAx>
        <c:axId val="74838016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SAT</a:t>
                </a:r>
              </a:p>
            </c:rich>
          </c:tx>
          <c:layout>
            <c:manualLayout>
              <c:xMode val="edge"/>
              <c:yMode val="edge"/>
              <c:x val="1.1617369308124261E-3"/>
              <c:y val="0.46104618791621188"/>
            </c:manualLayout>
          </c:layout>
        </c:title>
        <c:numFmt formatCode="#,##0.00" sourceLinked="0"/>
        <c:tickLblPos val="nextTo"/>
        <c:crossAx val="74839936"/>
        <c:crosses val="max"/>
        <c:crossBetween val="between"/>
      </c:valAx>
      <c:catAx>
        <c:axId val="74839936"/>
        <c:scaling>
          <c:orientation val="minMax"/>
        </c:scaling>
        <c:delete val="1"/>
        <c:axPos val="b"/>
        <c:tickLblPos val="none"/>
        <c:crossAx val="74838016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19003409455569353"/>
          <c:y val="6.1047446185399666E-2"/>
          <c:w val="0.47238886802875607"/>
          <c:h val="6.5935821980075304E-2"/>
        </c:manualLayout>
      </c:layout>
    </c:legend>
    <c:plotVisOnly val="1"/>
    <c:dispBlanksAs val="gap"/>
  </c:chart>
  <c:spPr>
    <a:solidFill>
      <a:schemeClr val="accent3">
        <a:lumMod val="40000"/>
        <a:lumOff val="60000"/>
      </a:schemeClr>
    </a:solidFill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366" l="0.70000000000000095" r="0.70000000000000095" t="0.75000000000000366" header="0.30000000000000032" footer="0.30000000000000032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574794644940923"/>
          <c:y val="2.3471707940704852E-2"/>
          <c:w val="0.75040727980147204"/>
          <c:h val="0.88061664006743556"/>
        </c:manualLayout>
      </c:layout>
      <c:barChart>
        <c:barDir val="col"/>
        <c:grouping val="clustered"/>
        <c:ser>
          <c:idx val="3"/>
          <c:order val="3"/>
          <c:tx>
            <c:strRef>
              <c:f>'Graphic Data'!$B$89</c:f>
              <c:strCache>
                <c:ptCount val="1"/>
                <c:pt idx="0">
                  <c:v>Caucasian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2225"/>
          </c:spPr>
          <c:cat>
            <c:strRef>
              <c:f>[0]!dl_gpa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[0]!ds_ethnicity_student_caucasian</c:f>
              <c:numCache>
                <c:formatCode>0.0%</c:formatCode>
                <c:ptCount val="8"/>
                <c:pt idx="0">
                  <c:v>0.4682603997839006</c:v>
                </c:pt>
                <c:pt idx="1">
                  <c:v>0.43675760344602532</c:v>
                </c:pt>
                <c:pt idx="2">
                  <c:v>0.41468202041350433</c:v>
                </c:pt>
                <c:pt idx="3">
                  <c:v>0.43398313286326556</c:v>
                </c:pt>
                <c:pt idx="4">
                  <c:v>0.39440540898846616</c:v>
                </c:pt>
                <c:pt idx="5">
                  <c:v>0.39979429914781073</c:v>
                </c:pt>
                <c:pt idx="6">
                  <c:v>0.38135721876423256</c:v>
                </c:pt>
                <c:pt idx="7">
                  <c:v>0.36665659921473875</c:v>
                </c:pt>
              </c:numCache>
            </c:numRef>
          </c:val>
        </c:ser>
        <c:axId val="74883456"/>
        <c:axId val="74885376"/>
      </c:barChart>
      <c:lineChart>
        <c:grouping val="standard"/>
        <c:ser>
          <c:idx val="0"/>
          <c:order val="0"/>
          <c:tx>
            <c:strRef>
              <c:f>'Graphic Data'!$B$86</c:f>
              <c:strCache>
                <c:ptCount val="1"/>
                <c:pt idx="0">
                  <c:v>Black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[0]!dl_ethnicity_employee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[0]!ds_ethnicity_student_black</c:f>
              <c:numCache>
                <c:formatCode>0.0%</c:formatCode>
                <c:ptCount val="8"/>
                <c:pt idx="0">
                  <c:v>0.10669908157752567</c:v>
                </c:pt>
                <c:pt idx="1">
                  <c:v>0.11069051037723535</c:v>
                </c:pt>
                <c:pt idx="2">
                  <c:v>0.10651661868620779</c:v>
                </c:pt>
                <c:pt idx="3">
                  <c:v>0.11530485275819162</c:v>
                </c:pt>
                <c:pt idx="4">
                  <c:v>0.10460029166114278</c:v>
                </c:pt>
                <c:pt idx="5">
                  <c:v>0.10872759330002939</c:v>
                </c:pt>
                <c:pt idx="6">
                  <c:v>9.9893730074388953E-2</c:v>
                </c:pt>
                <c:pt idx="7">
                  <c:v>9.9667774086378738E-2</c:v>
                </c:pt>
              </c:numCache>
            </c:numRef>
          </c:val>
        </c:ser>
        <c:ser>
          <c:idx val="1"/>
          <c:order val="1"/>
          <c:tx>
            <c:strRef>
              <c:f>'Graphic Data'!$B$87</c:f>
              <c:strCache>
                <c:ptCount val="1"/>
                <c:pt idx="0">
                  <c:v>Asian</c:v>
                </c:pt>
              </c:strCache>
            </c:strRef>
          </c:tx>
          <c:spPr>
            <a:ln w="22225"/>
          </c:spPr>
          <c:marker>
            <c:symbol val="star"/>
            <c:size val="4"/>
            <c:spPr>
              <a:ln>
                <a:solidFill>
                  <a:sysClr val="windowText" lastClr="000000"/>
                </a:solidFill>
              </a:ln>
            </c:spPr>
          </c:marker>
          <c:cat>
            <c:strRef>
              <c:f>[0]!dl_ethnicity_employee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[0]!ds_ethnicity_student_asian</c:f>
              <c:numCache>
                <c:formatCode>0.0%</c:formatCode>
                <c:ptCount val="8"/>
                <c:pt idx="0">
                  <c:v>5.0783360345759046E-2</c:v>
                </c:pt>
                <c:pt idx="1">
                  <c:v>5.2343036157159642E-2</c:v>
                </c:pt>
                <c:pt idx="2">
                  <c:v>5.2734886155456684E-2</c:v>
                </c:pt>
                <c:pt idx="3">
                  <c:v>5.5578598092077977E-2</c:v>
                </c:pt>
                <c:pt idx="4">
                  <c:v>5.4222457907994168E-2</c:v>
                </c:pt>
                <c:pt idx="5">
                  <c:v>6.4061122538936227E-2</c:v>
                </c:pt>
                <c:pt idx="6">
                  <c:v>8.4560497950508573E-2</c:v>
                </c:pt>
                <c:pt idx="7">
                  <c:v>9.8912715191784961E-2</c:v>
                </c:pt>
              </c:numCache>
            </c:numRef>
          </c:val>
        </c:ser>
        <c:ser>
          <c:idx val="2"/>
          <c:order val="2"/>
          <c:tx>
            <c:strRef>
              <c:f>'Graphic Data'!$B$88</c:f>
              <c:strCache>
                <c:ptCount val="1"/>
                <c:pt idx="0">
                  <c:v>Hispanic</c:v>
                </c:pt>
              </c:strCache>
            </c:strRef>
          </c:tx>
          <c:spPr>
            <a:ln w="22225"/>
          </c:spPr>
          <c:marker>
            <c:spPr>
              <a:ln>
                <a:solidFill>
                  <a:sysClr val="windowText" lastClr="000000"/>
                </a:solidFill>
              </a:ln>
            </c:spPr>
          </c:marker>
          <c:cat>
            <c:strRef>
              <c:f>[0]!dl_ethnicity_employee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[0]!ds_ethnicity_student_hispanic</c:f>
              <c:numCache>
                <c:formatCode>0.0%</c:formatCode>
                <c:ptCount val="8"/>
                <c:pt idx="0">
                  <c:v>0.23960021609940574</c:v>
                </c:pt>
                <c:pt idx="1">
                  <c:v>0.25310011747813599</c:v>
                </c:pt>
                <c:pt idx="2">
                  <c:v>0.26197330541742997</c:v>
                </c:pt>
                <c:pt idx="3">
                  <c:v>0.32047559795382274</c:v>
                </c:pt>
                <c:pt idx="4">
                  <c:v>0.31804321887843034</c:v>
                </c:pt>
                <c:pt idx="5">
                  <c:v>0.33646782250955037</c:v>
                </c:pt>
                <c:pt idx="6">
                  <c:v>0.35114619705480493</c:v>
                </c:pt>
                <c:pt idx="7">
                  <c:v>0.35699184536393841</c:v>
                </c:pt>
              </c:numCache>
            </c:numRef>
          </c:val>
        </c:ser>
        <c:ser>
          <c:idx val="4"/>
          <c:order val="4"/>
          <c:tx>
            <c:strRef>
              <c:f>'Graphic Data'!$B$90</c:f>
              <c:strCache>
                <c:ptCount val="1"/>
                <c:pt idx="0">
                  <c:v>Other/Unknown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diamond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[0]!dl_ethnicity_employee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[0]!ds_ethnicity_student_other</c:f>
              <c:numCache>
                <c:formatCode>0.0%</c:formatCode>
                <c:ptCount val="8"/>
                <c:pt idx="0">
                  <c:v>0.13465694219340896</c:v>
                </c:pt>
                <c:pt idx="1">
                  <c:v>0.14710873254144374</c:v>
                </c:pt>
                <c:pt idx="2">
                  <c:v>0.16409316932740126</c:v>
                </c:pt>
                <c:pt idx="3">
                  <c:v>7.4657818332642067E-2</c:v>
                </c:pt>
                <c:pt idx="4">
                  <c:v>0.12872862256396655</c:v>
                </c:pt>
                <c:pt idx="5">
                  <c:v>9.0949162503673353E-2</c:v>
                </c:pt>
                <c:pt idx="6">
                  <c:v>8.3042356156065034E-2</c:v>
                </c:pt>
                <c:pt idx="7">
                  <c:v>7.7771066143159207E-2</c:v>
                </c:pt>
              </c:numCache>
            </c:numRef>
          </c:val>
        </c:ser>
        <c:marker val="1"/>
        <c:axId val="74883456"/>
        <c:axId val="74885376"/>
      </c:lineChart>
      <c:catAx>
        <c:axId val="74883456"/>
        <c:scaling>
          <c:orientation val="minMax"/>
        </c:scaling>
        <c:axPos val="b"/>
        <c:numFmt formatCode="#,##0.00" sourceLinked="0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74885376"/>
        <c:crosses val="autoZero"/>
        <c:auto val="1"/>
        <c:lblAlgn val="ctr"/>
        <c:lblOffset val="100"/>
      </c:catAx>
      <c:valAx>
        <c:axId val="74885376"/>
        <c:scaling>
          <c:orientation val="minMax"/>
        </c:scaling>
        <c:axPos val="l"/>
        <c:majorGridlines/>
        <c:numFmt formatCode="0%" sourceLinked="0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74883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1125263153512368"/>
          <c:y val="9.2640294213766433E-2"/>
          <c:w val="0.48134090678849367"/>
          <c:h val="0.37508399289750444"/>
        </c:manualLayout>
      </c:layout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</c:chart>
  <c:spPr>
    <a:solidFill>
      <a:schemeClr val="accent3">
        <a:lumMod val="40000"/>
        <a:lumOff val="60000"/>
      </a:schemeClr>
    </a:solidFill>
    <a:ln>
      <a:noFill/>
    </a:ln>
  </c:spPr>
  <c:txPr>
    <a:bodyPr/>
    <a:lstStyle/>
    <a:p>
      <a:pPr>
        <a:defRPr sz="1100"/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8.1443987905393339E-2"/>
          <c:y val="1.8460376861839843E-2"/>
          <c:w val="0.78414731889529399"/>
          <c:h val="0.8927159439815886"/>
        </c:manualLayout>
      </c:layout>
      <c:barChart>
        <c:barDir val="col"/>
        <c:grouping val="clustered"/>
        <c:ser>
          <c:idx val="2"/>
          <c:order val="2"/>
          <c:tx>
            <c:strRef>
              <c:f>'Graphic Data'!$B$95</c:f>
              <c:strCache>
                <c:ptCount val="1"/>
                <c:pt idx="0">
                  <c:v>Hispanic Faculty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>
              <a:noFill/>
            </a:ln>
          </c:spPr>
          <c:cat>
            <c:strRef>
              <c:f>[0]!dl_ethnicity_employee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[0]!ds_ethnicity_faculty_hispanic</c:f>
              <c:numCache>
                <c:formatCode>0.0%</c:formatCode>
                <c:ptCount val="8"/>
                <c:pt idx="0">
                  <c:v>4.3478260869565216E-2</c:v>
                </c:pt>
                <c:pt idx="1">
                  <c:v>5.9171597633136092E-2</c:v>
                </c:pt>
                <c:pt idx="2">
                  <c:v>7.2625698324022353E-2</c:v>
                </c:pt>
                <c:pt idx="3">
                  <c:v>3.8674033149171269E-2</c:v>
                </c:pt>
                <c:pt idx="4">
                  <c:v>3.7433155080213901E-2</c:v>
                </c:pt>
                <c:pt idx="5">
                  <c:v>4.6391752577319589E-2</c:v>
                </c:pt>
                <c:pt idx="6">
                  <c:v>7.2164948453608241E-2</c:v>
                </c:pt>
                <c:pt idx="7">
                  <c:v>7.7319587628865982E-2</c:v>
                </c:pt>
              </c:numCache>
            </c:numRef>
          </c:val>
        </c:ser>
        <c:ser>
          <c:idx val="6"/>
          <c:order val="5"/>
          <c:tx>
            <c:strRef>
              <c:f>'Graphic Data'!$B$99</c:f>
              <c:strCache>
                <c:ptCount val="1"/>
                <c:pt idx="0">
                  <c:v>Hispanic-Staff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</c:spPr>
          <c:val>
            <c:numRef>
              <c:f>[0]!ds_ethnicity_staff_hispanic</c:f>
              <c:numCache>
                <c:formatCode>0.0%</c:formatCode>
                <c:ptCount val="8"/>
                <c:pt idx="0">
                  <c:v>0.20430107526881722</c:v>
                </c:pt>
                <c:pt idx="1">
                  <c:v>0.20460358056265984</c:v>
                </c:pt>
                <c:pt idx="2">
                  <c:v>0.21197007481296759</c:v>
                </c:pt>
                <c:pt idx="3">
                  <c:v>0.20393120393120392</c:v>
                </c:pt>
                <c:pt idx="4">
                  <c:v>0.21446384039900249</c:v>
                </c:pt>
                <c:pt idx="5">
                  <c:v>0.21065989847715735</c:v>
                </c:pt>
                <c:pt idx="6">
                  <c:v>0.21249999999999999</c:v>
                </c:pt>
                <c:pt idx="7">
                  <c:v>0.21791767554479419</c:v>
                </c:pt>
              </c:numCache>
            </c:numRef>
          </c:val>
        </c:ser>
        <c:axId val="75015680"/>
        <c:axId val="75017600"/>
      </c:barChart>
      <c:lineChart>
        <c:grouping val="standard"/>
        <c:ser>
          <c:idx val="0"/>
          <c:order val="0"/>
          <c:tx>
            <c:strRef>
              <c:f>'Graphic Data'!$B$93</c:f>
              <c:strCache>
                <c:ptCount val="1"/>
                <c:pt idx="0">
                  <c:v>Black-Faculty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cat>
            <c:strRef>
              <c:f>[0]!dl_ethnicity_employee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[0]!ds_ethnicity_faculty_black</c:f>
              <c:numCache>
                <c:formatCode>0.0%</c:formatCode>
                <c:ptCount val="8"/>
                <c:pt idx="0">
                  <c:v>3.7267080745341616E-2</c:v>
                </c:pt>
                <c:pt idx="1">
                  <c:v>2.9585798816568046E-2</c:v>
                </c:pt>
                <c:pt idx="2">
                  <c:v>3.3519553072625698E-2</c:v>
                </c:pt>
                <c:pt idx="3">
                  <c:v>2.7624309392265192E-2</c:v>
                </c:pt>
                <c:pt idx="4">
                  <c:v>2.1390374331550801E-2</c:v>
                </c:pt>
                <c:pt idx="5">
                  <c:v>3.0927835051546393E-2</c:v>
                </c:pt>
                <c:pt idx="6">
                  <c:v>3.608247422680412E-2</c:v>
                </c:pt>
                <c:pt idx="7">
                  <c:v>3.0927835051546393E-2</c:v>
                </c:pt>
              </c:numCache>
            </c:numRef>
          </c:val>
        </c:ser>
        <c:ser>
          <c:idx val="1"/>
          <c:order val="1"/>
          <c:tx>
            <c:strRef>
              <c:f>'Graphic Data'!$B$94</c:f>
              <c:strCache>
                <c:ptCount val="1"/>
                <c:pt idx="0">
                  <c:v>Asian-Faculty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4"/>
            <c:spPr>
              <a:ln>
                <a:solidFill>
                  <a:sysClr val="windowText" lastClr="000000"/>
                </a:solidFill>
              </a:ln>
            </c:spPr>
          </c:marker>
          <c:cat>
            <c:strRef>
              <c:f>[0]!dl_ethnicity_employee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[0]!ds_ethnicity_faculty_asian</c:f>
              <c:numCache>
                <c:formatCode>0.0%</c:formatCode>
                <c:ptCount val="8"/>
                <c:pt idx="0">
                  <c:v>6.8322981366459631E-2</c:v>
                </c:pt>
                <c:pt idx="1">
                  <c:v>4.142011834319527E-2</c:v>
                </c:pt>
                <c:pt idx="2">
                  <c:v>6.1452513966480445E-2</c:v>
                </c:pt>
                <c:pt idx="3">
                  <c:v>6.6298342541436461E-2</c:v>
                </c:pt>
                <c:pt idx="4">
                  <c:v>8.0213903743315509E-2</c:v>
                </c:pt>
                <c:pt idx="5">
                  <c:v>8.7628865979381437E-2</c:v>
                </c:pt>
                <c:pt idx="6">
                  <c:v>7.7319587628865982E-2</c:v>
                </c:pt>
                <c:pt idx="7">
                  <c:v>8.247422680412371E-2</c:v>
                </c:pt>
              </c:numCache>
            </c:numRef>
          </c:val>
        </c:ser>
        <c:ser>
          <c:idx val="4"/>
          <c:order val="3"/>
          <c:tx>
            <c:strRef>
              <c:f>'Graphic Data'!$B$97</c:f>
              <c:strCache>
                <c:ptCount val="1"/>
                <c:pt idx="0">
                  <c:v>Black-Staff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pPr>
              <a:noFill/>
              <a:ln>
                <a:solidFill>
                  <a:schemeClr val="tx1"/>
                </a:solidFill>
              </a:ln>
            </c:spPr>
          </c:marker>
          <c:cat>
            <c:strRef>
              <c:f>[0]!dl_ethnicity_employee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[0]!ds_ethnicity_staff_black</c:f>
              <c:numCache>
                <c:formatCode>0.0%</c:formatCode>
                <c:ptCount val="8"/>
                <c:pt idx="0">
                  <c:v>8.3333333333333329E-2</c:v>
                </c:pt>
                <c:pt idx="1">
                  <c:v>8.9514066496163683E-2</c:v>
                </c:pt>
                <c:pt idx="2">
                  <c:v>8.4788029925187039E-2</c:v>
                </c:pt>
                <c:pt idx="3">
                  <c:v>9.5823095823095825E-2</c:v>
                </c:pt>
                <c:pt idx="4">
                  <c:v>8.7281795511221949E-2</c:v>
                </c:pt>
                <c:pt idx="5">
                  <c:v>8.1218274111675121E-2</c:v>
                </c:pt>
                <c:pt idx="6">
                  <c:v>8.2500000000000004E-2</c:v>
                </c:pt>
                <c:pt idx="7">
                  <c:v>8.9588377723970949E-2</c:v>
                </c:pt>
              </c:numCache>
            </c:numRef>
          </c:val>
        </c:ser>
        <c:ser>
          <c:idx val="5"/>
          <c:order val="4"/>
          <c:tx>
            <c:strRef>
              <c:f>'Graphic Data'!$B$98</c:f>
              <c:strCache>
                <c:ptCount val="1"/>
                <c:pt idx="0">
                  <c:v>Asian-Staff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</c:spPr>
          </c:marker>
          <c:val>
            <c:numRef>
              <c:f>[0]!ds_ethnicity_staff_asian</c:f>
              <c:numCache>
                <c:formatCode>0.0%</c:formatCode>
                <c:ptCount val="8"/>
                <c:pt idx="0">
                  <c:v>7.5268817204301078E-2</c:v>
                </c:pt>
                <c:pt idx="1">
                  <c:v>7.1611253196930943E-2</c:v>
                </c:pt>
                <c:pt idx="2">
                  <c:v>7.4812967581047385E-2</c:v>
                </c:pt>
                <c:pt idx="3">
                  <c:v>8.1081081081081086E-2</c:v>
                </c:pt>
                <c:pt idx="4">
                  <c:v>8.2294264339152115E-2</c:v>
                </c:pt>
                <c:pt idx="5">
                  <c:v>8.8832487309644673E-2</c:v>
                </c:pt>
                <c:pt idx="6">
                  <c:v>0.09</c:v>
                </c:pt>
                <c:pt idx="7">
                  <c:v>8.4745762711864403E-2</c:v>
                </c:pt>
              </c:numCache>
            </c:numRef>
          </c:val>
        </c:ser>
        <c:marker val="1"/>
        <c:axId val="75015680"/>
        <c:axId val="75017600"/>
      </c:lineChart>
      <c:catAx>
        <c:axId val="75015680"/>
        <c:scaling>
          <c:orientation val="minMax"/>
        </c:scaling>
        <c:axPos val="b"/>
        <c:numFmt formatCode="#,##0.00" sourceLinked="0"/>
        <c:maj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5017600"/>
        <c:crosses val="autoZero"/>
        <c:auto val="1"/>
        <c:lblAlgn val="ctr"/>
        <c:lblOffset val="100"/>
      </c:catAx>
      <c:valAx>
        <c:axId val="75017600"/>
        <c:scaling>
          <c:orientation val="minMax"/>
          <c:max val="0.25"/>
        </c:scaling>
        <c:axPos val="l"/>
        <c:majorGridlines/>
        <c:numFmt formatCode="0%" sourceLinked="0"/>
        <c:maj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5015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487059538105368"/>
          <c:y val="2.7098018775219831E-2"/>
          <c:w val="0.71653666784167758"/>
          <c:h val="0.47855550515705536"/>
        </c:manualLayout>
      </c:layout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</c:chart>
  <c:spPr>
    <a:noFill/>
    <a:ln>
      <a:noFill/>
    </a:ln>
  </c:spPr>
  <c:txPr>
    <a:bodyPr/>
    <a:lstStyle/>
    <a:p>
      <a:pPr>
        <a:defRPr sz="1100"/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strLit>
              <c:ptCount val="5"/>
              <c:pt idx="0">
                <c:v>03</c:v>
              </c:pt>
              <c:pt idx="1">
                <c:v>I</c:v>
              </c:pt>
              <c:pt idx="2">
                <c:v>II</c:v>
              </c:pt>
              <c:pt idx="3">
                <c:v>III</c:v>
              </c:pt>
              <c:pt idx="4">
                <c:v>04</c:v>
              </c:pt>
            </c:strLit>
          </c:cat>
          <c:val>
            <c:numLit>
              <c:formatCode>General</c:formatCode>
              <c:ptCount val="5"/>
              <c:pt idx="0">
                <c:v>0.48000000000000032</c:v>
              </c:pt>
              <c:pt idx="1">
                <c:v>0.504</c:v>
              </c:pt>
              <c:pt idx="2">
                <c:v>0.49800000000000078</c:v>
              </c:pt>
              <c:pt idx="3">
                <c:v>0.49800000000000078</c:v>
              </c:pt>
              <c:pt idx="4">
                <c:v>0.48300000000000032</c:v>
              </c:pt>
            </c:numLit>
          </c:val>
        </c:ser>
        <c:marker val="1"/>
        <c:axId val="73356416"/>
        <c:axId val="73358336"/>
      </c:lineChart>
      <c:catAx>
        <c:axId val="73356416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358336"/>
        <c:crosses val="autoZero"/>
        <c:lblAlgn val="ctr"/>
        <c:lblOffset val="100"/>
        <c:tickLblSkip val="2"/>
        <c:tickMarkSkip val="1"/>
      </c:catAx>
      <c:valAx>
        <c:axId val="733583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356416"/>
        <c:crosses val="autoZero"/>
        <c:crossBetween val="between"/>
      </c:valAx>
      <c:spPr>
        <a:solidFill>
          <a:srgbClr val="FFFFFF"/>
        </a:solidFill>
        <a:ln w="12700">
          <a:solidFill>
            <a:srgbClr val="7D674B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0829802022454928"/>
          <c:y val="3.8060678080123415E-2"/>
          <c:w val="0.81951867357890362"/>
          <c:h val="0.77248727586994259"/>
        </c:manualLayout>
      </c:layout>
      <c:barChart>
        <c:barDir val="col"/>
        <c:grouping val="clustered"/>
        <c:ser>
          <c:idx val="0"/>
          <c:order val="0"/>
          <c:tx>
            <c:strRef>
              <c:f>'Graphic Data'!$B$103</c:f>
              <c:strCache>
                <c:ptCount val="1"/>
                <c:pt idx="0">
                  <c:v>Student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/>
          </c:spPr>
          <c:cat>
            <c:strRef>
              <c:f>[0]!dl_gender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[0]!ds_gender_student</c:f>
              <c:numCache>
                <c:formatCode>0.0%</c:formatCode>
                <c:ptCount val="8"/>
                <c:pt idx="0">
                  <c:v>0.61196054254007404</c:v>
                </c:pt>
                <c:pt idx="1">
                  <c:v>0.50189270330244096</c:v>
                </c:pt>
                <c:pt idx="2">
                  <c:v>0.63523410933821611</c:v>
                </c:pt>
                <c:pt idx="3">
                  <c:v>0.65117117117117118</c:v>
                </c:pt>
                <c:pt idx="4">
                  <c:v>0.65917827967323406</c:v>
                </c:pt>
                <c:pt idx="5">
                  <c:v>0.65917827967323406</c:v>
                </c:pt>
                <c:pt idx="6">
                  <c:v>0.66498559077809793</c:v>
                </c:pt>
                <c:pt idx="7">
                  <c:v>0.64077025232403717</c:v>
                </c:pt>
              </c:numCache>
            </c:numRef>
          </c:val>
        </c:ser>
        <c:axId val="75116928"/>
        <c:axId val="75118848"/>
      </c:barChart>
      <c:lineChart>
        <c:grouping val="standard"/>
        <c:ser>
          <c:idx val="1"/>
          <c:order val="1"/>
          <c:tx>
            <c:strRef>
              <c:f>'Graphic Data'!$B$104</c:f>
              <c:strCache>
                <c:ptCount val="1"/>
                <c:pt idx="0">
                  <c:v>Faculty</c:v>
                </c:pt>
              </c:strCache>
            </c:strRef>
          </c:tx>
          <c:spPr>
            <a:ln w="22225"/>
          </c:spPr>
          <c:marker>
            <c:symbol val="star"/>
            <c:size val="4"/>
            <c:spPr>
              <a:ln>
                <a:solidFill>
                  <a:sysClr val="windowText" lastClr="000000"/>
                </a:solidFill>
              </a:ln>
            </c:spPr>
          </c:marker>
          <c:cat>
            <c:strRef>
              <c:f>[0]!dl_gpa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[0]!ds_gender_faculty</c:f>
              <c:numCache>
                <c:formatCode>0.0%</c:formatCode>
                <c:ptCount val="8"/>
                <c:pt idx="0">
                  <c:v>0.42</c:v>
                </c:pt>
                <c:pt idx="1">
                  <c:v>0.44</c:v>
                </c:pt>
                <c:pt idx="2">
                  <c:v>0.44</c:v>
                </c:pt>
                <c:pt idx="3">
                  <c:v>0.43</c:v>
                </c:pt>
                <c:pt idx="4">
                  <c:v>0.48</c:v>
                </c:pt>
                <c:pt idx="5">
                  <c:v>0.47</c:v>
                </c:pt>
                <c:pt idx="6">
                  <c:v>0.47399999999999998</c:v>
                </c:pt>
                <c:pt idx="7">
                  <c:v>0.48499999999999999</c:v>
                </c:pt>
              </c:numCache>
            </c:numRef>
          </c:val>
        </c:ser>
        <c:ser>
          <c:idx val="2"/>
          <c:order val="2"/>
          <c:tx>
            <c:strRef>
              <c:f>'Graphic Data'!$B$105</c:f>
              <c:strCache>
                <c:ptCount val="1"/>
                <c:pt idx="0">
                  <c:v>Staff</c:v>
                </c:pt>
              </c:strCache>
            </c:strRef>
          </c:tx>
          <c:spPr>
            <a:ln w="22225"/>
          </c:spPr>
          <c:marker>
            <c:spPr>
              <a:ln>
                <a:solidFill>
                  <a:sysClr val="windowText" lastClr="000000"/>
                </a:solidFill>
              </a:ln>
            </c:spPr>
          </c:marker>
          <c:cat>
            <c:strRef>
              <c:f>[0]!dl_gpa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[0]!ds_gender_staff</c:f>
              <c:numCache>
                <c:formatCode>0.0%</c:formatCode>
                <c:ptCount val="8"/>
                <c:pt idx="0">
                  <c:v>0.67741935483870963</c:v>
                </c:pt>
                <c:pt idx="1">
                  <c:v>0.6675191815856778</c:v>
                </c:pt>
                <c:pt idx="2">
                  <c:v>0.67331670822942646</c:v>
                </c:pt>
                <c:pt idx="3">
                  <c:v>0.66584766584766586</c:v>
                </c:pt>
                <c:pt idx="4">
                  <c:v>0.64837905236907734</c:v>
                </c:pt>
                <c:pt idx="5">
                  <c:v>0.63197969543147203</c:v>
                </c:pt>
                <c:pt idx="6">
                  <c:v>0.64</c:v>
                </c:pt>
                <c:pt idx="7">
                  <c:v>0.64400000000000002</c:v>
                </c:pt>
              </c:numCache>
            </c:numRef>
          </c:val>
        </c:ser>
        <c:marker val="1"/>
        <c:axId val="75116928"/>
        <c:axId val="75118848"/>
      </c:lineChart>
      <c:catAx>
        <c:axId val="75116928"/>
        <c:scaling>
          <c:orientation val="minMax"/>
        </c:scaling>
        <c:axPos val="b"/>
        <c:numFmt formatCode="#,##0.00" sourceLinked="0"/>
        <c:maj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5118848"/>
        <c:crosses val="autoZero"/>
        <c:auto val="1"/>
        <c:lblAlgn val="ctr"/>
        <c:lblOffset val="100"/>
      </c:catAx>
      <c:valAx>
        <c:axId val="75118848"/>
        <c:scaling>
          <c:orientation val="minMax"/>
        </c:scaling>
        <c:axPos val="l"/>
        <c:majorGridlines/>
        <c:numFmt formatCode="0%" sourceLinked="0"/>
        <c:maj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5116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348755920291985"/>
          <c:y val="0.50888365136200853"/>
          <c:w val="0.45348889502017098"/>
          <c:h val="0.26575245381533724"/>
        </c:manualLayout>
      </c:layout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</c:chart>
  <c:spPr>
    <a:noFill/>
    <a:ln>
      <a:noFill/>
    </a:ln>
  </c:spPr>
  <c:txPr>
    <a:bodyPr/>
    <a:lstStyle/>
    <a:p>
      <a:pPr>
        <a:defRPr sz="1100"/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8.6263685931519549E-2"/>
          <c:y val="2.6769185497382438E-2"/>
          <c:w val="0.82799867770701663"/>
          <c:h val="0.89491648986914518"/>
        </c:manualLayout>
      </c:layout>
      <c:barChart>
        <c:barDir val="col"/>
        <c:grouping val="stacked"/>
        <c:ser>
          <c:idx val="0"/>
          <c:order val="0"/>
          <c:tx>
            <c:strRef>
              <c:f>'Graphic Data'!$B$24</c:f>
              <c:strCache>
                <c:ptCount val="1"/>
                <c:pt idx="0">
                  <c:v>Net tuition &amp; fees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>
              <a:noFill/>
            </a:ln>
          </c:spPr>
          <c:cat>
            <c:strRef>
              <c:f>[0]!dl_income</c:f>
              <c:strCache>
                <c:ptCount val="8"/>
                <c:pt idx="0">
                  <c:v>0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[0]!ds_income_tuition</c:f>
              <c:numCache>
                <c:formatCode>0%</c:formatCode>
                <c:ptCount val="8"/>
                <c:pt idx="0">
                  <c:v>0</c:v>
                </c:pt>
                <c:pt idx="1">
                  <c:v>0.85473807406210345</c:v>
                </c:pt>
                <c:pt idx="2" formatCode="0.0%">
                  <c:v>0.84900372366260435</c:v>
                </c:pt>
                <c:pt idx="3" formatCode="0.0%">
                  <c:v>0.82098168420651996</c:v>
                </c:pt>
                <c:pt idx="4" formatCode="0.0%">
                  <c:v>0.83222619735105963</c:v>
                </c:pt>
                <c:pt idx="5" formatCode="0.0%">
                  <c:v>0.7665735411875465</c:v>
                </c:pt>
                <c:pt idx="6" formatCode="0.0%">
                  <c:v>0.77975195909938511</c:v>
                </c:pt>
                <c:pt idx="7" formatCode="0.0%">
                  <c:v>0.87585217804515847</c:v>
                </c:pt>
              </c:numCache>
            </c:numRef>
          </c:val>
        </c:ser>
        <c:ser>
          <c:idx val="1"/>
          <c:order val="1"/>
          <c:tx>
            <c:strRef>
              <c:f>'Graphic Data'!$B$25</c:f>
              <c:strCache>
                <c:ptCount val="1"/>
                <c:pt idx="0">
                  <c:v>Private gifts and grants</c:v>
                </c:pt>
              </c:strCache>
            </c:strRef>
          </c:tx>
          <c:spPr>
            <a:pattFill prst="pct80">
              <a:fgClr>
                <a:srgbClr val="E46C0A"/>
              </a:fgClr>
              <a:bgClr>
                <a:srgbClr val="FFFFFF"/>
              </a:bgClr>
            </a:pattFill>
            <a:ln w="22225">
              <a:solidFill>
                <a:schemeClr val="tx1"/>
              </a:solidFill>
            </a:ln>
          </c:spPr>
          <c:cat>
            <c:strRef>
              <c:f>[0]!dl_retention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[0]!ds_income_private</c:f>
              <c:numCache>
                <c:formatCode>0%</c:formatCode>
                <c:ptCount val="8"/>
                <c:pt idx="0">
                  <c:v>0</c:v>
                </c:pt>
                <c:pt idx="1">
                  <c:v>3.5591537584320682E-2</c:v>
                </c:pt>
                <c:pt idx="2" formatCode="0.0%">
                  <c:v>6.1746231438798663E-2</c:v>
                </c:pt>
                <c:pt idx="3" formatCode="0.0%">
                  <c:v>5.5561526115554226E-2</c:v>
                </c:pt>
                <c:pt idx="4" formatCode="0.0%">
                  <c:v>5.8561332135424582E-2</c:v>
                </c:pt>
                <c:pt idx="5" formatCode="0.0%">
                  <c:v>0.10062781169299279</c:v>
                </c:pt>
                <c:pt idx="6" formatCode="0.0%">
                  <c:v>7.0404180201666014E-2</c:v>
                </c:pt>
                <c:pt idx="7" formatCode="0.0%">
                  <c:v>4.0303749972165029E-2</c:v>
                </c:pt>
              </c:numCache>
            </c:numRef>
          </c:val>
        </c:ser>
        <c:ser>
          <c:idx val="2"/>
          <c:order val="2"/>
          <c:tx>
            <c:strRef>
              <c:f>'Graphic Data'!$B$28</c:f>
              <c:strCache>
                <c:ptCount val="1"/>
                <c:pt idx="0">
                  <c:v>Investment income</c:v>
                </c:pt>
              </c:strCache>
            </c:strRef>
          </c:tx>
          <c:spPr>
            <a:pattFill prst="sphere">
              <a:fgClr>
                <a:srgbClr val="9BBB59"/>
              </a:fgClr>
              <a:bgClr>
                <a:srgbClr val="FFFFFF"/>
              </a:bgClr>
            </a:pattFill>
            <a:ln>
              <a:solidFill>
                <a:prstClr val="black"/>
              </a:solidFill>
            </a:ln>
          </c:spPr>
          <c:val>
            <c:numRef>
              <c:f>[0]!ds_income_invest</c:f>
              <c:numCache>
                <c:formatCode>0%</c:formatCode>
                <c:ptCount val="8"/>
                <c:pt idx="0">
                  <c:v>0</c:v>
                </c:pt>
                <c:pt idx="1">
                  <c:v>2.0243650941874278E-2</c:v>
                </c:pt>
                <c:pt idx="2" formatCode="0.0%">
                  <c:v>1.4290760899630647E-2</c:v>
                </c:pt>
                <c:pt idx="3" formatCode="0.0%">
                  <c:v>4.9128394073897214E-2</c:v>
                </c:pt>
                <c:pt idx="4" formatCode="0.0%">
                  <c:v>3.0575904154784565E-2</c:v>
                </c:pt>
                <c:pt idx="5" formatCode="0.0%">
                  <c:v>5.5967543330323589E-2</c:v>
                </c:pt>
                <c:pt idx="6" formatCode="0.0%">
                  <c:v>7.0860313035302783E-2</c:v>
                </c:pt>
                <c:pt idx="7" formatCode="0.0%">
                  <c:v>3.7828610980216462E-4</c:v>
                </c:pt>
              </c:numCache>
            </c:numRef>
          </c:val>
        </c:ser>
        <c:ser>
          <c:idx val="3"/>
          <c:order val="3"/>
          <c:tx>
            <c:strRef>
              <c:f>'Graphic Data'!$B$29</c:f>
              <c:strCache>
                <c:ptCount val="1"/>
                <c:pt idx="0">
                  <c:v>Auxiliary enterprises</c:v>
                </c:pt>
              </c:strCache>
            </c:strRef>
          </c:tx>
          <c:spPr>
            <a:pattFill prst="pct10">
              <a:fgClr>
                <a:srgbClr val="8064A2"/>
              </a:fgClr>
              <a:bgClr>
                <a:srgbClr val="FFFFFF"/>
              </a:bgClr>
            </a:pattFill>
            <a:ln>
              <a:solidFill>
                <a:prstClr val="black"/>
              </a:solidFill>
            </a:ln>
          </c:spPr>
          <c:val>
            <c:numRef>
              <c:f>[0]!ds_income_auxi</c:f>
              <c:numCache>
                <c:formatCode>0%</c:formatCode>
                <c:ptCount val="8"/>
                <c:pt idx="0">
                  <c:v>0</c:v>
                </c:pt>
                <c:pt idx="1">
                  <c:v>4.3636215290046181E-2</c:v>
                </c:pt>
                <c:pt idx="2" formatCode="0.0%">
                  <c:v>4.5290371178130791E-2</c:v>
                </c:pt>
                <c:pt idx="3" formatCode="0.0%">
                  <c:v>4.5110066852548765E-2</c:v>
                </c:pt>
                <c:pt idx="4" formatCode="0.0%">
                  <c:v>4.8887894793298241E-2</c:v>
                </c:pt>
                <c:pt idx="5" formatCode="0.0%">
                  <c:v>4.1304389620111376E-2</c:v>
                </c:pt>
                <c:pt idx="6" formatCode="0.0%">
                  <c:v>3.8741782927508586E-2</c:v>
                </c:pt>
                <c:pt idx="7" formatCode="0.0%">
                  <c:v>4.1107692795387327E-2</c:v>
                </c:pt>
              </c:numCache>
            </c:numRef>
          </c:val>
        </c:ser>
        <c:gapWidth val="55"/>
        <c:overlap val="100"/>
        <c:axId val="75040640"/>
        <c:axId val="75055104"/>
      </c:barChart>
      <c:lineChart>
        <c:grouping val="standard"/>
        <c:ser>
          <c:idx val="4"/>
          <c:order val="4"/>
          <c:tx>
            <c:strRef>
              <c:f>'Graphic Data'!$B$33</c:f>
              <c:strCache>
                <c:ptCount val="1"/>
                <c:pt idx="0">
                  <c:v>Total revenues</c:v>
                </c:pt>
              </c:strCache>
            </c:strRef>
          </c:tx>
          <c:spPr>
            <a:ln>
              <a:solidFill>
                <a:srgbClr val="009900"/>
              </a:solidFill>
            </a:ln>
          </c:spPr>
          <c:marker>
            <c:spPr>
              <a:ln>
                <a:solidFill>
                  <a:sysClr val="windowText" lastClr="000000"/>
                </a:solidFill>
              </a:ln>
            </c:spPr>
          </c:marker>
          <c:val>
            <c:numRef>
              <c:f>[0]!ds_income_total</c:f>
              <c:numCache>
                <c:formatCode>_(* #,##0_);_(* \(#,##0\);_(* "-"??_);_(@_)</c:formatCode>
                <c:ptCount val="8"/>
                <c:pt idx="0" formatCode="_(* #,##0.00_);_(* \(#,##0.00\);_(* &quot;-&quot;??_);_(@_)">
                  <c:v>0</c:v>
                </c:pt>
                <c:pt idx="1">
                  <c:v>68488387</c:v>
                </c:pt>
                <c:pt idx="2">
                  <c:v>77457877</c:v>
                </c:pt>
                <c:pt idx="3">
                  <c:v>83130114</c:v>
                </c:pt>
                <c:pt idx="4">
                  <c:v>88638916</c:v>
                </c:pt>
                <c:pt idx="5">
                  <c:v>102573432</c:v>
                </c:pt>
                <c:pt idx="6">
                  <c:v>106039286</c:v>
                </c:pt>
                <c:pt idx="7">
                  <c:v>100188717</c:v>
                </c:pt>
              </c:numCache>
            </c:numRef>
          </c:val>
        </c:ser>
        <c:marker val="1"/>
        <c:axId val="75058560"/>
        <c:axId val="75056640"/>
      </c:lineChart>
      <c:catAx>
        <c:axId val="75040640"/>
        <c:scaling>
          <c:orientation val="minMax"/>
        </c:scaling>
        <c:axPos val="b"/>
        <c:majorTickMark val="none"/>
        <c:tickLblPos val="nextTo"/>
        <c:crossAx val="75055104"/>
        <c:crosses val="autoZero"/>
        <c:auto val="1"/>
        <c:lblAlgn val="ctr"/>
        <c:lblOffset val="100"/>
      </c:catAx>
      <c:valAx>
        <c:axId val="75055104"/>
        <c:scaling>
          <c:orientation val="minMax"/>
          <c:max val="1"/>
          <c:min val="0"/>
        </c:scaling>
        <c:axPos val="l"/>
        <c:majorGridlines/>
        <c:numFmt formatCode="0%" sourceLinked="1"/>
        <c:majorTickMark val="none"/>
        <c:tickLblPos val="nextTo"/>
        <c:crossAx val="75040640"/>
        <c:crosses val="autoZero"/>
        <c:crossBetween val="between"/>
        <c:majorUnit val="0.1"/>
      </c:valAx>
      <c:valAx>
        <c:axId val="75056640"/>
        <c:scaling>
          <c:orientation val="minMax"/>
        </c:scaling>
        <c:axPos val="r"/>
        <c:numFmt formatCode="#,##0" sourceLinked="0"/>
        <c:tickLblPos val="nextTo"/>
        <c:crossAx val="75058560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2256280821355052"/>
                <c:y val="0.18485354330708664"/>
              </c:manualLayout>
            </c:layout>
            <c:tx>
              <c:rich>
                <a:bodyPr/>
                <a:lstStyle/>
                <a:p>
                  <a:pPr>
                    <a:defRPr sz="800"/>
                  </a:pPr>
                  <a:r>
                    <a:rPr lang="en-US" sz="800"/>
                    <a:t>Total Revenue (Millions)</a:t>
                  </a:r>
                </a:p>
              </c:rich>
            </c:tx>
          </c:dispUnitsLbl>
        </c:dispUnits>
      </c:valAx>
      <c:catAx>
        <c:axId val="75058560"/>
        <c:scaling>
          <c:orientation val="minMax"/>
        </c:scaling>
        <c:delete val="1"/>
        <c:axPos val="b"/>
        <c:tickLblPos val="none"/>
        <c:crossAx val="75056640"/>
        <c:crosses val="autoZero"/>
        <c:auto val="1"/>
        <c:lblAlgn val="ctr"/>
        <c:lblOffset val="100"/>
      </c:catAx>
      <c:spPr>
        <a:solidFill>
          <a:schemeClr val="bg1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2148720143528886"/>
          <c:y val="0.35386227264528136"/>
          <c:w val="0.63174582854872019"/>
          <c:h val="0.34675779527559075"/>
        </c:manualLayout>
      </c:layout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5648244903966468"/>
          <c:y val="3.6682032058065667E-2"/>
          <c:w val="0.69958619534260247"/>
          <c:h val="0.85555527654715224"/>
        </c:manualLayout>
      </c:layout>
      <c:barChart>
        <c:barDir val="col"/>
        <c:grouping val="stacked"/>
        <c:ser>
          <c:idx val="0"/>
          <c:order val="0"/>
          <c:tx>
            <c:strRef>
              <c:f>'Graphic Data'!$B$36</c:f>
              <c:strCache>
                <c:ptCount val="1"/>
                <c:pt idx="0">
                  <c:v>Instruction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>
              <a:noFill/>
            </a:ln>
          </c:spPr>
          <c:cat>
            <c:strRef>
              <c:f>[0]!dl_expense</c:f>
              <c:strCache>
                <c:ptCount val="8"/>
                <c:pt idx="0">
                  <c:v>0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[0]!ds_expense_instruction</c:f>
              <c:numCache>
                <c:formatCode>0.0%</c:formatCode>
                <c:ptCount val="8"/>
                <c:pt idx="0">
                  <c:v>0</c:v>
                </c:pt>
                <c:pt idx="1">
                  <c:v>0.49752565292384238</c:v>
                </c:pt>
                <c:pt idx="2">
                  <c:v>0.5153172012945787</c:v>
                </c:pt>
                <c:pt idx="3">
                  <c:v>0.53891716091704567</c:v>
                </c:pt>
                <c:pt idx="4">
                  <c:v>0.50553346999289972</c:v>
                </c:pt>
                <c:pt idx="5">
                  <c:v>0.45628543588127685</c:v>
                </c:pt>
                <c:pt idx="6">
                  <c:v>0.46630968299892023</c:v>
                </c:pt>
                <c:pt idx="7">
                  <c:v>0.4499780795236219</c:v>
                </c:pt>
              </c:numCache>
            </c:numRef>
          </c:val>
        </c:ser>
        <c:ser>
          <c:idx val="1"/>
          <c:order val="1"/>
          <c:tx>
            <c:strRef>
              <c:f>'Graphic Data'!$B$37</c:f>
              <c:strCache>
                <c:ptCount val="1"/>
                <c:pt idx="0">
                  <c:v>Academic support</c:v>
                </c:pt>
              </c:strCache>
            </c:strRef>
          </c:tx>
          <c:spPr>
            <a:pattFill prst="pct80">
              <a:fgClr>
                <a:srgbClr val="E46C0A"/>
              </a:fgClr>
              <a:bgClr>
                <a:srgbClr val="FFFFFF"/>
              </a:bgClr>
            </a:pattFill>
            <a:ln w="22225">
              <a:solidFill>
                <a:prstClr val="black"/>
              </a:solidFill>
            </a:ln>
          </c:spPr>
          <c:cat>
            <c:strRef>
              <c:f>[0]!dl_expense</c:f>
              <c:strCache>
                <c:ptCount val="8"/>
                <c:pt idx="0">
                  <c:v>0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[0]!ds_expense_academic</c:f>
              <c:numCache>
                <c:formatCode>0.0%</c:formatCode>
                <c:ptCount val="8"/>
                <c:pt idx="0">
                  <c:v>0</c:v>
                </c:pt>
                <c:pt idx="1">
                  <c:v>0.12134961567798901</c:v>
                </c:pt>
                <c:pt idx="2">
                  <c:v>0.12011225534003626</c:v>
                </c:pt>
                <c:pt idx="3">
                  <c:v>0.11516436495979271</c:v>
                </c:pt>
                <c:pt idx="4">
                  <c:v>0.17603059775594621</c:v>
                </c:pt>
                <c:pt idx="5">
                  <c:v>0.15567728228323291</c:v>
                </c:pt>
                <c:pt idx="6">
                  <c:v>0.14618284369014459</c:v>
                </c:pt>
                <c:pt idx="7">
                  <c:v>0.15067120040131593</c:v>
                </c:pt>
              </c:numCache>
            </c:numRef>
          </c:val>
        </c:ser>
        <c:ser>
          <c:idx val="2"/>
          <c:order val="2"/>
          <c:tx>
            <c:strRef>
              <c:f>'Graphic Data'!$B$38</c:f>
              <c:strCache>
                <c:ptCount val="1"/>
                <c:pt idx="0">
                  <c:v>Student services</c:v>
                </c:pt>
              </c:strCache>
            </c:strRef>
          </c:tx>
          <c:spPr>
            <a:pattFill prst="sphere">
              <a:fgClr>
                <a:srgbClr val="9BBB59"/>
              </a:fgClr>
              <a:bgClr>
                <a:srgbClr val="FFFFFF"/>
              </a:bgClr>
            </a:pattFill>
            <a:ln>
              <a:solidFill>
                <a:prstClr val="black"/>
              </a:solidFill>
            </a:ln>
          </c:spPr>
          <c:cat>
            <c:strRef>
              <c:f>[0]!dl_expense</c:f>
              <c:strCache>
                <c:ptCount val="8"/>
                <c:pt idx="0">
                  <c:v>0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[0]!ds_expense_student</c:f>
              <c:numCache>
                <c:formatCode>0.0%</c:formatCode>
                <c:ptCount val="8"/>
                <c:pt idx="0">
                  <c:v>0</c:v>
                </c:pt>
                <c:pt idx="1">
                  <c:v>0.13459642363964694</c:v>
                </c:pt>
                <c:pt idx="2">
                  <c:v>0.13661205493812259</c:v>
                </c:pt>
                <c:pt idx="3">
                  <c:v>0.13337733996540746</c:v>
                </c:pt>
                <c:pt idx="4">
                  <c:v>0.13016148352858783</c:v>
                </c:pt>
                <c:pt idx="5">
                  <c:v>0.12482283303705774</c:v>
                </c:pt>
                <c:pt idx="6">
                  <c:v>0.11245907528058076</c:v>
                </c:pt>
                <c:pt idx="7">
                  <c:v>0.11692563575023866</c:v>
                </c:pt>
              </c:numCache>
            </c:numRef>
          </c:val>
        </c:ser>
        <c:ser>
          <c:idx val="3"/>
          <c:order val="3"/>
          <c:tx>
            <c:strRef>
              <c:f>'Graphic Data'!$B$39</c:f>
              <c:strCache>
                <c:ptCount val="1"/>
                <c:pt idx="0">
                  <c:v>Institutional support</c:v>
                </c:pt>
              </c:strCache>
            </c:strRef>
          </c:tx>
          <c:spPr>
            <a:pattFill prst="pct10">
              <a:fgClr>
                <a:srgbClr val="8064A2"/>
              </a:fgClr>
              <a:bgClr>
                <a:srgbClr val="FFFFFF"/>
              </a:bgClr>
            </a:pattFill>
            <a:ln>
              <a:solidFill>
                <a:schemeClr val="tx1"/>
              </a:solidFill>
            </a:ln>
          </c:spPr>
          <c:cat>
            <c:strRef>
              <c:f>[0]!dl_expense</c:f>
              <c:strCache>
                <c:ptCount val="8"/>
                <c:pt idx="0">
                  <c:v>0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[0]!ds_expense_institutional</c:f>
              <c:numCache>
                <c:formatCode>0.0%</c:formatCode>
                <c:ptCount val="8"/>
                <c:pt idx="0">
                  <c:v>0</c:v>
                </c:pt>
                <c:pt idx="1">
                  <c:v>0.1879931749429625</c:v>
                </c:pt>
                <c:pt idx="2">
                  <c:v>0.17207166644848207</c:v>
                </c:pt>
                <c:pt idx="3">
                  <c:v>0.15588244836554821</c:v>
                </c:pt>
                <c:pt idx="4">
                  <c:v>0.13465597043657973</c:v>
                </c:pt>
                <c:pt idx="5">
                  <c:v>0.22156617077393165</c:v>
                </c:pt>
                <c:pt idx="6">
                  <c:v>0.24555066865426836</c:v>
                </c:pt>
                <c:pt idx="7">
                  <c:v>0.25803657952496478</c:v>
                </c:pt>
              </c:numCache>
            </c:numRef>
          </c:val>
        </c:ser>
        <c:gapWidth val="55"/>
        <c:overlap val="100"/>
        <c:axId val="75102848"/>
        <c:axId val="75191040"/>
      </c:barChart>
      <c:lineChart>
        <c:grouping val="standard"/>
        <c:ser>
          <c:idx val="4"/>
          <c:order val="4"/>
          <c:tx>
            <c:strRef>
              <c:f>'Graphic Data'!$B$41</c:f>
              <c:strCache>
                <c:ptCount val="1"/>
                <c:pt idx="0">
                  <c:v>Total expenses</c:v>
                </c:pt>
              </c:strCache>
            </c:strRef>
          </c:tx>
          <c:spPr>
            <a:ln>
              <a:solidFill>
                <a:srgbClr val="009900"/>
              </a:solidFill>
            </a:ln>
          </c:spPr>
          <c:marker>
            <c:spPr>
              <a:ln>
                <a:solidFill>
                  <a:sysClr val="windowText" lastClr="000000"/>
                </a:solidFill>
              </a:ln>
            </c:spPr>
          </c:marker>
          <c:val>
            <c:numRef>
              <c:f>[0]!ds_expense_total</c:f>
              <c:numCache>
                <c:formatCode>_(* #,##0_);_(* \(#,##0\);_(* "-"??_);_(@_)</c:formatCode>
                <c:ptCount val="8"/>
                <c:pt idx="0">
                  <c:v>0</c:v>
                </c:pt>
                <c:pt idx="1">
                  <c:v>74838935</c:v>
                </c:pt>
                <c:pt idx="2">
                  <c:v>79290660</c:v>
                </c:pt>
                <c:pt idx="3">
                  <c:v>79366825</c:v>
                </c:pt>
                <c:pt idx="4">
                  <c:v>84993684</c:v>
                </c:pt>
                <c:pt idx="5">
                  <c:v>90409068</c:v>
                </c:pt>
                <c:pt idx="6">
                  <c:v>90130734</c:v>
                </c:pt>
                <c:pt idx="7">
                  <c:v>97919861</c:v>
                </c:pt>
              </c:numCache>
            </c:numRef>
          </c:val>
        </c:ser>
        <c:marker val="1"/>
        <c:axId val="75198848"/>
        <c:axId val="75192576"/>
      </c:lineChart>
      <c:catAx>
        <c:axId val="75102848"/>
        <c:scaling>
          <c:orientation val="minMax"/>
        </c:scaling>
        <c:axPos val="b"/>
        <c:majorTickMark val="none"/>
        <c:tickLblPos val="nextTo"/>
        <c:crossAx val="75191040"/>
        <c:crosses val="autoZero"/>
        <c:auto val="1"/>
        <c:lblAlgn val="ctr"/>
        <c:lblOffset val="100"/>
      </c:catAx>
      <c:valAx>
        <c:axId val="75191040"/>
        <c:scaling>
          <c:orientation val="minMax"/>
          <c:max val="1"/>
          <c:min val="0"/>
        </c:scaling>
        <c:axPos val="l"/>
        <c:majorGridlines/>
        <c:numFmt formatCode="0%" sourceLinked="0"/>
        <c:majorTickMark val="none"/>
        <c:tickLblPos val="nextTo"/>
        <c:crossAx val="75102848"/>
        <c:crosses val="autoZero"/>
        <c:crossBetween val="between"/>
        <c:majorUnit val="0.1"/>
      </c:valAx>
      <c:valAx>
        <c:axId val="75192576"/>
        <c:scaling>
          <c:orientation val="minMax"/>
        </c:scaling>
        <c:axPos val="r"/>
        <c:numFmt formatCode="#,##0" sourceLinked="0"/>
        <c:tickLblPos val="nextTo"/>
        <c:crossAx val="75198848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7213306416892298"/>
                <c:y val="0.34798816568047469"/>
              </c:manualLayout>
            </c:layout>
            <c:tx>
              <c:rich>
                <a:bodyPr/>
                <a:lstStyle/>
                <a:p>
                  <a:pPr>
                    <a:defRPr sz="800"/>
                  </a:pPr>
                  <a:r>
                    <a:rPr lang="en-US" sz="800"/>
                    <a:t>Total Expense (Millions)</a:t>
                  </a:r>
                </a:p>
              </c:rich>
            </c:tx>
          </c:dispUnitsLbl>
        </c:dispUnits>
      </c:valAx>
      <c:catAx>
        <c:axId val="75198848"/>
        <c:scaling>
          <c:orientation val="minMax"/>
        </c:scaling>
        <c:delete val="1"/>
        <c:axPos val="b"/>
        <c:tickLblPos val="none"/>
        <c:crossAx val="75192576"/>
        <c:crosses val="autoZero"/>
        <c:auto val="1"/>
        <c:lblAlgn val="ctr"/>
        <c:lblOffset val="100"/>
      </c:catAx>
      <c:spPr>
        <a:solidFill>
          <a:sysClr val="window" lastClr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4481495488786936"/>
          <c:y val="0.45488989168162297"/>
          <c:w val="0.60925130155139162"/>
          <c:h val="0.30959516201062481"/>
        </c:manualLayout>
      </c:layout>
      <c:spPr>
        <a:noFill/>
        <a:ln>
          <a:noFill/>
        </a:ln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</c:chart>
  <c:spPr>
    <a:noFill/>
    <a:ln>
      <a:noFill/>
    </a:ln>
  </c:spPr>
  <c:printSettings>
    <c:headerFooter/>
    <c:pageMargins b="0.75000000000000233" l="0.70000000000000095" r="0.70000000000000095" t="0.75000000000000233" header="0.30000000000000032" footer="0.30000000000000032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Gprah 1: Enrollment</a:t>
            </a:r>
          </a:p>
        </c:rich>
      </c:tx>
    </c:title>
    <c:plotArea>
      <c:layout>
        <c:manualLayout>
          <c:layoutTarget val="inner"/>
          <c:xMode val="edge"/>
          <c:yMode val="edge"/>
          <c:x val="0.12574803149606356"/>
          <c:y val="7.5352478738989384E-2"/>
          <c:w val="0.7373060623519615"/>
          <c:h val="0.62002354750400734"/>
        </c:manualLayout>
      </c:layout>
      <c:barChart>
        <c:barDir val="col"/>
        <c:grouping val="clustered"/>
        <c:ser>
          <c:idx val="5"/>
          <c:order val="5"/>
          <c:tx>
            <c:strRef>
              <c:f>'Graphic Data'!$B$20</c:f>
              <c:strCache>
                <c:ptCount val="1"/>
                <c:pt idx="0">
                  <c:v>RCA &amp; Other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34925"/>
          </c:spPr>
          <c:dLbls>
            <c:showVal val="1"/>
          </c:dLbls>
          <c:val>
            <c:numRef>
              <c:f>[0]!ds_enrollment_other</c:f>
              <c:numCache>
                <c:formatCode>0%</c:formatCode>
                <c:ptCount val="8"/>
                <c:pt idx="0">
                  <c:v>0.50308261405672006</c:v>
                </c:pt>
                <c:pt idx="1">
                  <c:v>0.44994126093199321</c:v>
                </c:pt>
                <c:pt idx="2">
                  <c:v>0.46790138906269552</c:v>
                </c:pt>
                <c:pt idx="3">
                  <c:v>0.39866984565190111</c:v>
                </c:pt>
                <c:pt idx="4">
                  <c:v>0.40256636054849665</c:v>
                </c:pt>
                <c:pt idx="5">
                  <c:v>0.38106050487511689</c:v>
                </c:pt>
                <c:pt idx="6">
                  <c:v>0.37533912099837224</c:v>
                </c:pt>
                <c:pt idx="7">
                  <c:v>0.38831341301460826</c:v>
                </c:pt>
              </c:numCache>
            </c:numRef>
          </c:val>
        </c:ser>
        <c:axId val="75316224"/>
        <c:axId val="75314304"/>
      </c:barChart>
      <c:lineChart>
        <c:grouping val="standard"/>
        <c:ser>
          <c:idx val="0"/>
          <c:order val="0"/>
          <c:tx>
            <c:strRef>
              <c:f>'Graphic Data'!$B$15</c:f>
              <c:strCache>
                <c:ptCount val="1"/>
                <c:pt idx="0">
                  <c:v>MC UG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[0]!dl_enrollment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[0]!ds_enrollment_MCUG</c:f>
              <c:numCache>
                <c:formatCode>#,##0_);\(#,##0\)</c:formatCode>
                <c:ptCount val="8"/>
                <c:pt idx="0">
                  <c:v>1424</c:v>
                </c:pt>
                <c:pt idx="1">
                  <c:v>1439</c:v>
                </c:pt>
                <c:pt idx="2">
                  <c:v>1396</c:v>
                </c:pt>
                <c:pt idx="3">
                  <c:v>1655</c:v>
                </c:pt>
                <c:pt idx="4">
                  <c:v>1721</c:v>
                </c:pt>
                <c:pt idx="5">
                  <c:v>1685</c:v>
                </c:pt>
                <c:pt idx="6">
                  <c:v>1683</c:v>
                </c:pt>
                <c:pt idx="7">
                  <c:v>1548</c:v>
                </c:pt>
              </c:numCache>
            </c:numRef>
          </c:val>
        </c:ser>
        <c:ser>
          <c:idx val="1"/>
          <c:order val="1"/>
          <c:tx>
            <c:strRef>
              <c:f>'Graphic Data'!$B$16</c:f>
              <c:strCache>
                <c:ptCount val="1"/>
                <c:pt idx="0">
                  <c:v>MC GR</c:v>
                </c:pt>
              </c:strCache>
            </c:strRef>
          </c:tx>
          <c:spPr>
            <a:ln w="22225"/>
          </c:spPr>
          <c:marker>
            <c:symbol val="square"/>
            <c:size val="6"/>
            <c:spPr>
              <a:ln>
                <a:solidFill>
                  <a:sysClr val="windowText" lastClr="000000"/>
                </a:solidFill>
              </a:ln>
            </c:spPr>
          </c:marker>
          <c:cat>
            <c:strRef>
              <c:f>[0]!dl_gpa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[0]!ds_enrollment_MCGR</c:f>
              <c:numCache>
                <c:formatCode>#,##0_);\(#,##0\)</c:formatCode>
                <c:ptCount val="8"/>
                <c:pt idx="0">
                  <c:v>1154</c:v>
                </c:pt>
                <c:pt idx="1">
                  <c:v>1308</c:v>
                </c:pt>
                <c:pt idx="2">
                  <c:v>1327</c:v>
                </c:pt>
                <c:pt idx="3">
                  <c:v>1500</c:v>
                </c:pt>
                <c:pt idx="4">
                  <c:v>1438</c:v>
                </c:pt>
                <c:pt idx="5">
                  <c:v>1419</c:v>
                </c:pt>
                <c:pt idx="6">
                  <c:v>1464</c:v>
                </c:pt>
                <c:pt idx="7">
                  <c:v>1566</c:v>
                </c:pt>
              </c:numCache>
            </c:numRef>
          </c:val>
        </c:ser>
        <c:ser>
          <c:idx val="2"/>
          <c:order val="2"/>
          <c:tx>
            <c:strRef>
              <c:f>'Graphic Data'!$B$17</c:f>
              <c:strCache>
                <c:ptCount val="1"/>
                <c:pt idx="0">
                  <c:v>CAPA</c:v>
                </c:pt>
              </c:strCache>
            </c:strRef>
          </c:tx>
          <c:spPr>
            <a:ln w="22225"/>
          </c:spPr>
          <c:marker>
            <c:spPr>
              <a:ln>
                <a:solidFill>
                  <a:sysClr val="windowText" lastClr="000000"/>
                </a:solidFill>
              </a:ln>
            </c:spPr>
          </c:marker>
          <c:cat>
            <c:strRef>
              <c:f>[0]!dl_gpa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[0]!ds_enrollment_CAPA</c:f>
              <c:numCache>
                <c:formatCode>#,##0_);\(#,##0\)</c:formatCode>
                <c:ptCount val="8"/>
                <c:pt idx="0">
                  <c:v>804</c:v>
                </c:pt>
                <c:pt idx="1">
                  <c:v>785</c:v>
                </c:pt>
                <c:pt idx="2">
                  <c:v>787</c:v>
                </c:pt>
                <c:pt idx="3">
                  <c:v>839</c:v>
                </c:pt>
                <c:pt idx="4">
                  <c:v>817</c:v>
                </c:pt>
                <c:pt idx="5">
                  <c:v>756</c:v>
                </c:pt>
                <c:pt idx="6">
                  <c:v>695</c:v>
                </c:pt>
                <c:pt idx="7">
                  <c:v>673</c:v>
                </c:pt>
              </c:numCache>
            </c:numRef>
          </c:val>
        </c:ser>
        <c:ser>
          <c:idx val="3"/>
          <c:order val="3"/>
          <c:tx>
            <c:strRef>
              <c:f>'Graphic Data'!$B$18</c:f>
              <c:strCache>
                <c:ptCount val="1"/>
                <c:pt idx="0">
                  <c:v>Doctoral</c:v>
                </c:pt>
              </c:strCache>
            </c:strRef>
          </c:tx>
          <c:spPr>
            <a:ln w="22225"/>
          </c:spPr>
          <c:marker>
            <c:spPr>
              <a:ln>
                <a:solidFill>
                  <a:sysClr val="windowText" lastClr="000000"/>
                </a:solidFill>
              </a:ln>
            </c:spPr>
          </c:marker>
          <c:cat>
            <c:strRef>
              <c:f>[0]!dl_gpa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[0]!ds_enrollment_doctoral</c:f>
              <c:numCache>
                <c:formatCode>#,##0_);\(#,##0\)</c:formatCode>
                <c:ptCount val="8"/>
                <c:pt idx="0">
                  <c:v>516</c:v>
                </c:pt>
                <c:pt idx="1">
                  <c:v>555</c:v>
                </c:pt>
                <c:pt idx="2">
                  <c:v>547</c:v>
                </c:pt>
                <c:pt idx="3">
                  <c:v>577</c:v>
                </c:pt>
                <c:pt idx="4">
                  <c:v>518</c:v>
                </c:pt>
                <c:pt idx="5">
                  <c:v>511</c:v>
                </c:pt>
                <c:pt idx="6">
                  <c:v>457</c:v>
                </c:pt>
                <c:pt idx="7">
                  <c:v>470</c:v>
                </c:pt>
              </c:numCache>
            </c:numRef>
          </c:val>
        </c:ser>
        <c:ser>
          <c:idx val="4"/>
          <c:order val="4"/>
          <c:tx>
            <c:strRef>
              <c:f>'Graphic Data'!$B$19</c:f>
              <c:strCache>
                <c:ptCount val="1"/>
                <c:pt idx="0">
                  <c:v>Law</c:v>
                </c:pt>
              </c:strCache>
            </c:strRef>
          </c:tx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</a:ln>
          </c:spPr>
          <c:marker>
            <c:spPr>
              <a:noFill/>
              <a:ln>
                <a:solidFill>
                  <a:sysClr val="windowText" lastClr="000000"/>
                </a:solidFill>
              </a:ln>
            </c:spPr>
          </c:marker>
          <c:val>
            <c:numRef>
              <c:f>[0]!ds_enrollment_law</c:f>
              <c:numCache>
                <c:formatCode>#,##0_);\(#,##0\)</c:formatCode>
                <c:ptCount val="8"/>
                <c:pt idx="0">
                  <c:v>132</c:v>
                </c:pt>
                <c:pt idx="1">
                  <c:v>127</c:v>
                </c:pt>
                <c:pt idx="2">
                  <c:v>195</c:v>
                </c:pt>
                <c:pt idx="3">
                  <c:v>221</c:v>
                </c:pt>
                <c:pt idx="4">
                  <c:v>255</c:v>
                </c:pt>
                <c:pt idx="5">
                  <c:v>263</c:v>
                </c:pt>
                <c:pt idx="6">
                  <c:v>306</c:v>
                </c:pt>
                <c:pt idx="7">
                  <c:v>349</c:v>
                </c:pt>
              </c:numCache>
            </c:numRef>
          </c:val>
        </c:ser>
        <c:marker val="1"/>
        <c:axId val="75285632"/>
        <c:axId val="75287552"/>
      </c:lineChart>
      <c:catAx>
        <c:axId val="75285632"/>
        <c:scaling>
          <c:orientation val="minMax"/>
        </c:scaling>
        <c:axPos val="b"/>
        <c:majorTickMark val="none"/>
        <c:tickLblPos val="nextTo"/>
        <c:crossAx val="75287552"/>
        <c:crosses val="autoZero"/>
        <c:auto val="1"/>
        <c:lblAlgn val="ctr"/>
        <c:lblOffset val="100"/>
      </c:catAx>
      <c:valAx>
        <c:axId val="75287552"/>
        <c:scaling>
          <c:orientation val="minMax"/>
          <c:max val="30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000" b="1">
                    <a:latin typeface="Arial" pitchFamily="34" charset="0"/>
                    <a:cs typeface="Arial" pitchFamily="34" charset="0"/>
                  </a:defRPr>
                </a:pPr>
                <a:r>
                  <a:rPr lang="en-US" sz="1000" b="1">
                    <a:latin typeface="Arial" pitchFamily="34" charset="0"/>
                    <a:cs typeface="Arial" pitchFamily="34" charset="0"/>
                  </a:rPr>
                  <a:t>Student Headcount</a:t>
                </a:r>
              </a:p>
            </c:rich>
          </c:tx>
        </c:title>
        <c:numFmt formatCode="#,##0_);\(#,##0\)" sourceLinked="1"/>
        <c:majorTickMark val="none"/>
        <c:tickLblPos val="nextTo"/>
        <c:crossAx val="75285632"/>
        <c:crosses val="autoZero"/>
        <c:crossBetween val="between"/>
      </c:valAx>
      <c:valAx>
        <c:axId val="75314304"/>
        <c:scaling>
          <c:orientation val="minMax"/>
          <c:max val="0.60000000000000064"/>
          <c:min val="0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 Other (% of Total Enrollment)</a:t>
                </a:r>
              </a:p>
            </c:rich>
          </c:tx>
        </c:title>
        <c:numFmt formatCode="0%" sourceLinked="1"/>
        <c:tickLblPos val="nextTo"/>
        <c:crossAx val="75316224"/>
        <c:crosses val="max"/>
        <c:crossBetween val="between"/>
        <c:majorUnit val="0.1"/>
        <c:minorUnit val="2.0000000000000011E-2"/>
      </c:valAx>
      <c:catAx>
        <c:axId val="75316224"/>
        <c:scaling>
          <c:orientation val="minMax"/>
        </c:scaling>
        <c:delete val="1"/>
        <c:axPos val="b"/>
        <c:tickLblPos val="none"/>
        <c:crossAx val="75314304"/>
        <c:crosses val="autoZero"/>
        <c:auto val="1"/>
        <c:lblAlgn val="ctr"/>
        <c:lblOffset val="100"/>
      </c:catAx>
      <c:dTable>
        <c:showHorzBorder val="1"/>
        <c:showVertBorder val="1"/>
        <c:showOutline val="1"/>
        <c:showKeys val="1"/>
      </c:dTable>
    </c:plotArea>
    <c:plotVisOnly val="1"/>
    <c:dispBlanksAs val="gap"/>
  </c:chart>
  <c:spPr>
    <a:solidFill>
      <a:schemeClr val="accent3">
        <a:lumMod val="40000"/>
        <a:lumOff val="60000"/>
      </a:schemeClr>
    </a:solidFill>
    <a:ln>
      <a:noFill/>
    </a:ln>
  </c:spPr>
  <c:txPr>
    <a:bodyPr/>
    <a:lstStyle/>
    <a:p>
      <a:pPr>
        <a:defRPr sz="1100"/>
      </a:pPr>
      <a:endParaRPr lang="en-US"/>
    </a:p>
  </c:txPr>
  <c:printSettings>
    <c:headerFooter/>
    <c:pageMargins b="0.75000000000000233" l="0.70000000000000095" r="0.70000000000000095" t="0.75000000000000233" header="0.30000000000000032" footer="0.30000000000000032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Graph 2: Revenue</a:t>
            </a:r>
          </a:p>
        </c:rich>
      </c:tx>
    </c:title>
    <c:plotArea>
      <c:layout>
        <c:manualLayout>
          <c:layoutTarget val="inner"/>
          <c:xMode val="edge"/>
          <c:yMode val="edge"/>
          <c:x val="0.19911311537016169"/>
          <c:y val="8.2757762438985208E-2"/>
          <c:w val="0.71483040581465751"/>
          <c:h val="0.69826880690358983"/>
        </c:manualLayout>
      </c:layout>
      <c:barChart>
        <c:barDir val="col"/>
        <c:grouping val="stacked"/>
        <c:ser>
          <c:idx val="0"/>
          <c:order val="0"/>
          <c:tx>
            <c:strRef>
              <c:f>'Graphic Data'!$B$24</c:f>
              <c:strCache>
                <c:ptCount val="1"/>
                <c:pt idx="0">
                  <c:v>Net tuition &amp; fees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>
              <a:solidFill>
                <a:prstClr val="black"/>
              </a:solidFill>
            </a:ln>
          </c:spPr>
          <c:dLbls>
            <c:showVal val="1"/>
          </c:dLbls>
          <c:cat>
            <c:strRef>
              <c:f>[0]!dl_income</c:f>
              <c:strCache>
                <c:ptCount val="8"/>
                <c:pt idx="0">
                  <c:v>0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[0]!ds_income_tuition</c:f>
              <c:numCache>
                <c:formatCode>0%</c:formatCode>
                <c:ptCount val="8"/>
                <c:pt idx="0">
                  <c:v>0</c:v>
                </c:pt>
                <c:pt idx="1">
                  <c:v>0.85473807406210345</c:v>
                </c:pt>
                <c:pt idx="2" formatCode="0.0%">
                  <c:v>0.84900372366260435</c:v>
                </c:pt>
                <c:pt idx="3" formatCode="0.0%">
                  <c:v>0.82098168420651996</c:v>
                </c:pt>
                <c:pt idx="4" formatCode="0.0%">
                  <c:v>0.83222619735105963</c:v>
                </c:pt>
                <c:pt idx="5" formatCode="0.0%">
                  <c:v>0.7665735411875465</c:v>
                </c:pt>
                <c:pt idx="6" formatCode="0.0%">
                  <c:v>0.77975195909938511</c:v>
                </c:pt>
                <c:pt idx="7" formatCode="0.0%">
                  <c:v>0.87585217804515847</c:v>
                </c:pt>
              </c:numCache>
            </c:numRef>
          </c:val>
        </c:ser>
        <c:ser>
          <c:idx val="1"/>
          <c:order val="1"/>
          <c:tx>
            <c:strRef>
              <c:f>'Graphic Data'!$B$25</c:f>
              <c:strCache>
                <c:ptCount val="1"/>
                <c:pt idx="0">
                  <c:v>Private gifts and grants</c:v>
                </c:pt>
              </c:strCache>
            </c:strRef>
          </c:tx>
          <c:spPr>
            <a:pattFill prst="pct80">
              <a:fgClr>
                <a:srgbClr val="E46C0A"/>
              </a:fgClr>
              <a:bgClr>
                <a:srgbClr val="FFFFFF"/>
              </a:bgClr>
            </a:pattFill>
            <a:ln w="22225">
              <a:solidFill>
                <a:prstClr val="black"/>
              </a:solidFill>
            </a:ln>
          </c:spPr>
          <c:dLbls>
            <c:showVal val="1"/>
          </c:dLbls>
          <c:cat>
            <c:strRef>
              <c:f>[0]!dl_retention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[0]!ds_income_private</c:f>
              <c:numCache>
                <c:formatCode>0%</c:formatCode>
                <c:ptCount val="8"/>
                <c:pt idx="0">
                  <c:v>0</c:v>
                </c:pt>
                <c:pt idx="1">
                  <c:v>3.5591537584320682E-2</c:v>
                </c:pt>
                <c:pt idx="2" formatCode="0.0%">
                  <c:v>6.1746231438798663E-2</c:v>
                </c:pt>
                <c:pt idx="3" formatCode="0.0%">
                  <c:v>5.5561526115554226E-2</c:v>
                </c:pt>
                <c:pt idx="4" formatCode="0.0%">
                  <c:v>5.8561332135424582E-2</c:v>
                </c:pt>
                <c:pt idx="5" formatCode="0.0%">
                  <c:v>0.10062781169299279</c:v>
                </c:pt>
                <c:pt idx="6" formatCode="0.0%">
                  <c:v>7.0404180201666014E-2</c:v>
                </c:pt>
                <c:pt idx="7" formatCode="0.0%">
                  <c:v>4.0303749972165029E-2</c:v>
                </c:pt>
              </c:numCache>
            </c:numRef>
          </c:val>
        </c:ser>
        <c:ser>
          <c:idx val="2"/>
          <c:order val="2"/>
          <c:tx>
            <c:strRef>
              <c:f>'Graphic Data'!$B$28</c:f>
              <c:strCache>
                <c:ptCount val="1"/>
                <c:pt idx="0">
                  <c:v>Investment income</c:v>
                </c:pt>
              </c:strCache>
            </c:strRef>
          </c:tx>
          <c:spPr>
            <a:pattFill prst="sphere">
              <a:fgClr>
                <a:srgbClr val="9BBB59"/>
              </a:fgClr>
              <a:bgClr>
                <a:srgbClr val="FFFFFF"/>
              </a:bgClr>
            </a:pattFill>
            <a:ln>
              <a:solidFill>
                <a:prstClr val="black"/>
              </a:solidFill>
            </a:ln>
          </c:spPr>
          <c:val>
            <c:numRef>
              <c:f>[0]!ds_income_invest</c:f>
              <c:numCache>
                <c:formatCode>0%</c:formatCode>
                <c:ptCount val="8"/>
                <c:pt idx="0">
                  <c:v>0</c:v>
                </c:pt>
                <c:pt idx="1">
                  <c:v>2.0243650941874278E-2</c:v>
                </c:pt>
                <c:pt idx="2" formatCode="0.0%">
                  <c:v>1.4290760899630647E-2</c:v>
                </c:pt>
                <c:pt idx="3" formatCode="0.0%">
                  <c:v>4.9128394073897214E-2</c:v>
                </c:pt>
                <c:pt idx="4" formatCode="0.0%">
                  <c:v>3.0575904154784565E-2</c:v>
                </c:pt>
                <c:pt idx="5" formatCode="0.0%">
                  <c:v>5.5967543330323589E-2</c:v>
                </c:pt>
                <c:pt idx="6" formatCode="0.0%">
                  <c:v>7.0860313035302783E-2</c:v>
                </c:pt>
                <c:pt idx="7" formatCode="0.0%">
                  <c:v>3.7828610980216462E-4</c:v>
                </c:pt>
              </c:numCache>
            </c:numRef>
          </c:val>
        </c:ser>
        <c:ser>
          <c:idx val="3"/>
          <c:order val="3"/>
          <c:tx>
            <c:strRef>
              <c:f>'Graphic Data'!$B$29</c:f>
              <c:strCache>
                <c:ptCount val="1"/>
                <c:pt idx="0">
                  <c:v>Auxiliary enterprises</c:v>
                </c:pt>
              </c:strCache>
            </c:strRef>
          </c:tx>
          <c:spPr>
            <a:pattFill prst="pct10">
              <a:fgClr>
                <a:srgbClr val="8064A2"/>
              </a:fgClr>
              <a:bgClr>
                <a:srgbClr val="FFFFFF"/>
              </a:bgClr>
            </a:pattFill>
            <a:ln>
              <a:solidFill>
                <a:prstClr val="black"/>
              </a:solidFill>
            </a:ln>
          </c:spPr>
          <c:val>
            <c:numRef>
              <c:f>[0]!ds_income_auxi</c:f>
              <c:numCache>
                <c:formatCode>0%</c:formatCode>
                <c:ptCount val="8"/>
                <c:pt idx="0">
                  <c:v>0</c:v>
                </c:pt>
                <c:pt idx="1">
                  <c:v>4.3636215290046181E-2</c:v>
                </c:pt>
                <c:pt idx="2" formatCode="0.0%">
                  <c:v>4.5290371178130791E-2</c:v>
                </c:pt>
                <c:pt idx="3" formatCode="0.0%">
                  <c:v>4.5110066852548765E-2</c:v>
                </c:pt>
                <c:pt idx="4" formatCode="0.0%">
                  <c:v>4.8887894793298241E-2</c:v>
                </c:pt>
                <c:pt idx="5" formatCode="0.0%">
                  <c:v>4.1304389620111376E-2</c:v>
                </c:pt>
                <c:pt idx="6" formatCode="0.0%">
                  <c:v>3.8741782927508586E-2</c:v>
                </c:pt>
                <c:pt idx="7" formatCode="0.0%">
                  <c:v>4.1107692795387327E-2</c:v>
                </c:pt>
              </c:numCache>
            </c:numRef>
          </c:val>
        </c:ser>
        <c:gapWidth val="95"/>
        <c:overlap val="100"/>
        <c:axId val="75424896"/>
        <c:axId val="75426816"/>
      </c:barChart>
      <c:lineChart>
        <c:grouping val="standard"/>
        <c:ser>
          <c:idx val="4"/>
          <c:order val="4"/>
          <c:tx>
            <c:strRef>
              <c:f>'Graphic Data'!$B$33</c:f>
              <c:strCache>
                <c:ptCount val="1"/>
                <c:pt idx="0">
                  <c:v>Total revenues</c:v>
                </c:pt>
              </c:strCache>
            </c:strRef>
          </c:tx>
          <c:spPr>
            <a:ln>
              <a:solidFill>
                <a:srgbClr val="009900"/>
              </a:solidFill>
            </a:ln>
          </c:spPr>
          <c:marker>
            <c:spPr>
              <a:ln>
                <a:solidFill>
                  <a:sysClr val="windowText" lastClr="000000"/>
                </a:solidFill>
              </a:ln>
            </c:spPr>
          </c:marker>
          <c:val>
            <c:numRef>
              <c:f>[0]!ds_income_total</c:f>
              <c:numCache>
                <c:formatCode>_(* #,##0_);_(* \(#,##0\);_(* "-"??_);_(@_)</c:formatCode>
                <c:ptCount val="8"/>
                <c:pt idx="0" formatCode="_(* #,##0.00_);_(* \(#,##0.00\);_(* &quot;-&quot;??_);_(@_)">
                  <c:v>0</c:v>
                </c:pt>
                <c:pt idx="1">
                  <c:v>68488387</c:v>
                </c:pt>
                <c:pt idx="2">
                  <c:v>77457877</c:v>
                </c:pt>
                <c:pt idx="3">
                  <c:v>83130114</c:v>
                </c:pt>
                <c:pt idx="4">
                  <c:v>88638916</c:v>
                </c:pt>
                <c:pt idx="5">
                  <c:v>102573432</c:v>
                </c:pt>
                <c:pt idx="6">
                  <c:v>106039286</c:v>
                </c:pt>
                <c:pt idx="7">
                  <c:v>100188717</c:v>
                </c:pt>
              </c:numCache>
            </c:numRef>
          </c:val>
        </c:ser>
        <c:marker val="1"/>
        <c:axId val="75430912"/>
        <c:axId val="75428992"/>
      </c:lineChart>
      <c:catAx>
        <c:axId val="75424896"/>
        <c:scaling>
          <c:orientation val="minMax"/>
        </c:scaling>
        <c:axPos val="b"/>
        <c:majorTickMark val="none"/>
        <c:tickLblPos val="nextTo"/>
        <c:crossAx val="75426816"/>
        <c:crosses val="autoZero"/>
        <c:auto val="1"/>
        <c:lblAlgn val="ctr"/>
        <c:lblOffset val="100"/>
      </c:catAx>
      <c:valAx>
        <c:axId val="75426816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Percentage</a:t>
                </a:r>
              </a:p>
            </c:rich>
          </c:tx>
          <c:layout>
            <c:manualLayout>
              <c:xMode val="edge"/>
              <c:yMode val="edge"/>
              <c:x val="0.11057692307692321"/>
              <c:y val="0.3510611618651534"/>
            </c:manualLayout>
          </c:layout>
        </c:title>
        <c:numFmt formatCode="0%" sourceLinked="1"/>
        <c:majorTickMark val="none"/>
        <c:tickLblPos val="nextTo"/>
        <c:crossAx val="75424896"/>
        <c:crosses val="autoZero"/>
        <c:crossBetween val="between"/>
        <c:majorUnit val="0.1"/>
      </c:valAx>
      <c:valAx>
        <c:axId val="75428992"/>
        <c:scaling>
          <c:orientation val="minMax"/>
        </c:scaling>
        <c:axPos val="r"/>
        <c:numFmt formatCode="#,##0" sourceLinked="0"/>
        <c:tickLblPos val="nextTo"/>
        <c:crossAx val="75430912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640211740359379"/>
                <c:y val="0.34935162650123275"/>
              </c:manualLayout>
            </c:layout>
            <c:tx>
              <c:rich>
                <a:bodyPr/>
                <a:lstStyle/>
                <a:p>
                  <a:pPr>
                    <a:defRPr sz="1100"/>
                  </a:pPr>
                  <a:r>
                    <a:rPr lang="en-US" sz="1100"/>
                    <a:t>Total Revenue ($Millions)</a:t>
                  </a:r>
                </a:p>
              </c:rich>
            </c:tx>
          </c:dispUnitsLbl>
        </c:dispUnits>
      </c:valAx>
      <c:catAx>
        <c:axId val="75430912"/>
        <c:scaling>
          <c:orientation val="minMax"/>
        </c:scaling>
        <c:delete val="1"/>
        <c:axPos val="b"/>
        <c:tickLblPos val="none"/>
        <c:crossAx val="75428992"/>
        <c:crosses val="autoZero"/>
        <c:auto val="1"/>
        <c:lblAlgn val="ctr"/>
        <c:lblOffset val="10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/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</c:chart>
  <c:spPr>
    <a:solidFill>
      <a:srgbClr val="9BBB59">
        <a:lumMod val="40000"/>
        <a:lumOff val="60000"/>
      </a:srgbClr>
    </a:solidFill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Graph 3:</a:t>
            </a:r>
            <a:r>
              <a:rPr lang="en-US" baseline="0"/>
              <a:t> </a:t>
            </a:r>
            <a:r>
              <a:rPr lang="en-US"/>
              <a:t>Expense</a:t>
            </a:r>
          </a:p>
        </c:rich>
      </c:tx>
    </c:title>
    <c:plotArea>
      <c:layout>
        <c:manualLayout>
          <c:layoutTarget val="inner"/>
          <c:xMode val="edge"/>
          <c:yMode val="edge"/>
          <c:x val="0.19956311218626183"/>
          <c:y val="8.2757762438985208E-2"/>
          <c:w val="0.73525077895032254"/>
          <c:h val="0.69826880690359006"/>
        </c:manualLayout>
      </c:layout>
      <c:barChart>
        <c:barDir val="col"/>
        <c:grouping val="stacked"/>
        <c:ser>
          <c:idx val="0"/>
          <c:order val="0"/>
          <c:tx>
            <c:strRef>
              <c:f>'Graphic Data'!$B$36</c:f>
              <c:strCache>
                <c:ptCount val="1"/>
                <c:pt idx="0">
                  <c:v>Instruction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>
              <a:solidFill>
                <a:prstClr val="black"/>
              </a:solidFill>
            </a:ln>
          </c:spPr>
          <c:dLbls>
            <c:showVal val="1"/>
          </c:dLbls>
          <c:cat>
            <c:strRef>
              <c:f>[0]!dl_expense</c:f>
              <c:strCache>
                <c:ptCount val="8"/>
                <c:pt idx="0">
                  <c:v>0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[0]!ds_expense_instruction</c:f>
              <c:numCache>
                <c:formatCode>0.0%</c:formatCode>
                <c:ptCount val="8"/>
                <c:pt idx="0">
                  <c:v>0</c:v>
                </c:pt>
                <c:pt idx="1">
                  <c:v>0.49752565292384238</c:v>
                </c:pt>
                <c:pt idx="2">
                  <c:v>0.5153172012945787</c:v>
                </c:pt>
                <c:pt idx="3">
                  <c:v>0.53891716091704567</c:v>
                </c:pt>
                <c:pt idx="4">
                  <c:v>0.50553346999289972</c:v>
                </c:pt>
                <c:pt idx="5">
                  <c:v>0.45628543588127685</c:v>
                </c:pt>
                <c:pt idx="6">
                  <c:v>0.46630968299892023</c:v>
                </c:pt>
                <c:pt idx="7">
                  <c:v>0.4499780795236219</c:v>
                </c:pt>
              </c:numCache>
            </c:numRef>
          </c:val>
        </c:ser>
        <c:ser>
          <c:idx val="1"/>
          <c:order val="1"/>
          <c:tx>
            <c:strRef>
              <c:f>'Graphic Data'!$B$37</c:f>
              <c:strCache>
                <c:ptCount val="1"/>
                <c:pt idx="0">
                  <c:v>Academic support</c:v>
                </c:pt>
              </c:strCache>
            </c:strRef>
          </c:tx>
          <c:spPr>
            <a:pattFill prst="pct80">
              <a:fgClr>
                <a:srgbClr val="E46C0A"/>
              </a:fgClr>
              <a:bgClr>
                <a:srgbClr val="FFFFFF"/>
              </a:bgClr>
            </a:pattFill>
            <a:ln w="22225">
              <a:solidFill>
                <a:prstClr val="black"/>
              </a:solidFill>
            </a:ln>
          </c:spPr>
          <c:dLbls>
            <c:showVal val="1"/>
          </c:dLbls>
          <c:cat>
            <c:strRef>
              <c:f>[0]!dl_expense</c:f>
              <c:strCache>
                <c:ptCount val="8"/>
                <c:pt idx="0">
                  <c:v>0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[0]!ds_expense_academic</c:f>
              <c:numCache>
                <c:formatCode>0.0%</c:formatCode>
                <c:ptCount val="8"/>
                <c:pt idx="0">
                  <c:v>0</c:v>
                </c:pt>
                <c:pt idx="1">
                  <c:v>0.12134961567798901</c:v>
                </c:pt>
                <c:pt idx="2">
                  <c:v>0.12011225534003626</c:v>
                </c:pt>
                <c:pt idx="3">
                  <c:v>0.11516436495979271</c:v>
                </c:pt>
                <c:pt idx="4">
                  <c:v>0.17603059775594621</c:v>
                </c:pt>
                <c:pt idx="5">
                  <c:v>0.15567728228323291</c:v>
                </c:pt>
                <c:pt idx="6">
                  <c:v>0.14618284369014459</c:v>
                </c:pt>
                <c:pt idx="7">
                  <c:v>0.15067120040131593</c:v>
                </c:pt>
              </c:numCache>
            </c:numRef>
          </c:val>
        </c:ser>
        <c:ser>
          <c:idx val="2"/>
          <c:order val="2"/>
          <c:tx>
            <c:strRef>
              <c:f>'Graphic Data'!$B$38</c:f>
              <c:strCache>
                <c:ptCount val="1"/>
                <c:pt idx="0">
                  <c:v>Student services</c:v>
                </c:pt>
              </c:strCache>
            </c:strRef>
          </c:tx>
          <c:spPr>
            <a:pattFill prst="sphere">
              <a:fgClr>
                <a:srgbClr val="9BBB59"/>
              </a:fgClr>
              <a:bgClr>
                <a:srgbClr val="FFFFFF"/>
              </a:bgClr>
            </a:pattFill>
            <a:ln>
              <a:solidFill>
                <a:prstClr val="black"/>
              </a:solidFill>
            </a:ln>
          </c:spPr>
          <c:dLbls>
            <c:showVal val="1"/>
          </c:dLbls>
          <c:cat>
            <c:strRef>
              <c:f>[0]!dl_expense</c:f>
              <c:strCache>
                <c:ptCount val="8"/>
                <c:pt idx="0">
                  <c:v>0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[0]!ds_expense_student</c:f>
              <c:numCache>
                <c:formatCode>0.0%</c:formatCode>
                <c:ptCount val="8"/>
                <c:pt idx="0">
                  <c:v>0</c:v>
                </c:pt>
                <c:pt idx="1">
                  <c:v>0.13459642363964694</c:v>
                </c:pt>
                <c:pt idx="2">
                  <c:v>0.13661205493812259</c:v>
                </c:pt>
                <c:pt idx="3">
                  <c:v>0.13337733996540746</c:v>
                </c:pt>
                <c:pt idx="4">
                  <c:v>0.13016148352858783</c:v>
                </c:pt>
                <c:pt idx="5">
                  <c:v>0.12482283303705774</c:v>
                </c:pt>
                <c:pt idx="6">
                  <c:v>0.11245907528058076</c:v>
                </c:pt>
                <c:pt idx="7">
                  <c:v>0.11692563575023866</c:v>
                </c:pt>
              </c:numCache>
            </c:numRef>
          </c:val>
        </c:ser>
        <c:ser>
          <c:idx val="3"/>
          <c:order val="3"/>
          <c:tx>
            <c:strRef>
              <c:f>'Graphic Data'!$B$39</c:f>
              <c:strCache>
                <c:ptCount val="1"/>
                <c:pt idx="0">
                  <c:v>Institutional support</c:v>
                </c:pt>
              </c:strCache>
            </c:strRef>
          </c:tx>
          <c:spPr>
            <a:pattFill prst="pct10">
              <a:fgClr>
                <a:srgbClr val="8064A2"/>
              </a:fgClr>
              <a:bgClr>
                <a:srgbClr val="FFFFFF"/>
              </a:bgClr>
            </a:pattFill>
            <a:ln>
              <a:solidFill>
                <a:schemeClr val="tx1"/>
              </a:solidFill>
            </a:ln>
          </c:spPr>
          <c:dLbls>
            <c:showVal val="1"/>
          </c:dLbls>
          <c:cat>
            <c:strRef>
              <c:f>[0]!dl_expense</c:f>
              <c:strCache>
                <c:ptCount val="8"/>
                <c:pt idx="0">
                  <c:v>0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[0]!ds_expense_institutional</c:f>
              <c:numCache>
                <c:formatCode>0.0%</c:formatCode>
                <c:ptCount val="8"/>
                <c:pt idx="0">
                  <c:v>0</c:v>
                </c:pt>
                <c:pt idx="1">
                  <c:v>0.1879931749429625</c:v>
                </c:pt>
                <c:pt idx="2">
                  <c:v>0.17207166644848207</c:v>
                </c:pt>
                <c:pt idx="3">
                  <c:v>0.15588244836554821</c:v>
                </c:pt>
                <c:pt idx="4">
                  <c:v>0.13465597043657973</c:v>
                </c:pt>
                <c:pt idx="5">
                  <c:v>0.22156617077393165</c:v>
                </c:pt>
                <c:pt idx="6">
                  <c:v>0.24555066865426836</c:v>
                </c:pt>
                <c:pt idx="7">
                  <c:v>0.25803657952496478</c:v>
                </c:pt>
              </c:numCache>
            </c:numRef>
          </c:val>
        </c:ser>
        <c:gapWidth val="95"/>
        <c:overlap val="100"/>
        <c:axId val="75576064"/>
        <c:axId val="75577984"/>
      </c:barChart>
      <c:lineChart>
        <c:grouping val="standard"/>
        <c:ser>
          <c:idx val="4"/>
          <c:order val="4"/>
          <c:tx>
            <c:strRef>
              <c:f>'Graphic Data'!$B$41</c:f>
              <c:strCache>
                <c:ptCount val="1"/>
                <c:pt idx="0">
                  <c:v>Total expenses</c:v>
                </c:pt>
              </c:strCache>
            </c:strRef>
          </c:tx>
          <c:spPr>
            <a:ln>
              <a:solidFill>
                <a:srgbClr val="009900"/>
              </a:solidFill>
            </a:ln>
          </c:spPr>
          <c:marker>
            <c:spPr>
              <a:ln>
                <a:solidFill>
                  <a:sysClr val="windowText" lastClr="000000"/>
                </a:solidFill>
              </a:ln>
            </c:spPr>
          </c:marker>
          <c:val>
            <c:numRef>
              <c:f>[0]!ds_expense_total</c:f>
              <c:numCache>
                <c:formatCode>_(* #,##0_);_(* \(#,##0\);_(* "-"??_);_(@_)</c:formatCode>
                <c:ptCount val="8"/>
                <c:pt idx="0">
                  <c:v>0</c:v>
                </c:pt>
                <c:pt idx="1">
                  <c:v>74838935</c:v>
                </c:pt>
                <c:pt idx="2">
                  <c:v>79290660</c:v>
                </c:pt>
                <c:pt idx="3">
                  <c:v>79366825</c:v>
                </c:pt>
                <c:pt idx="4">
                  <c:v>84993684</c:v>
                </c:pt>
                <c:pt idx="5">
                  <c:v>90409068</c:v>
                </c:pt>
                <c:pt idx="6">
                  <c:v>90130734</c:v>
                </c:pt>
                <c:pt idx="7">
                  <c:v>97919861</c:v>
                </c:pt>
              </c:numCache>
            </c:numRef>
          </c:val>
        </c:ser>
        <c:marker val="1"/>
        <c:axId val="75586176"/>
        <c:axId val="75584256"/>
      </c:lineChart>
      <c:catAx>
        <c:axId val="75576064"/>
        <c:scaling>
          <c:orientation val="minMax"/>
        </c:scaling>
        <c:axPos val="b"/>
        <c:majorTickMark val="none"/>
        <c:tickLblPos val="nextTo"/>
        <c:crossAx val="75577984"/>
        <c:crosses val="autoZero"/>
        <c:auto val="1"/>
        <c:lblAlgn val="ctr"/>
        <c:lblOffset val="100"/>
      </c:catAx>
      <c:valAx>
        <c:axId val="75577984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Percentage</a:t>
                </a:r>
              </a:p>
            </c:rich>
          </c:tx>
          <c:layout>
            <c:manualLayout>
              <c:xMode val="edge"/>
              <c:yMode val="edge"/>
              <c:x val="0.10247650392425141"/>
              <c:y val="0.35106120610663311"/>
            </c:manualLayout>
          </c:layout>
        </c:title>
        <c:numFmt formatCode="0.0%" sourceLinked="1"/>
        <c:majorTickMark val="none"/>
        <c:tickLblPos val="nextTo"/>
        <c:crossAx val="75576064"/>
        <c:crosses val="autoZero"/>
        <c:crossBetween val="between"/>
        <c:majorUnit val="0.1"/>
      </c:valAx>
      <c:valAx>
        <c:axId val="75584256"/>
        <c:scaling>
          <c:orientation val="minMax"/>
        </c:scaling>
        <c:axPos val="r"/>
        <c:numFmt formatCode="#,##0" sourceLinked="0"/>
        <c:tickLblPos val="nextTo"/>
        <c:crossAx val="75586176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7213306416892298"/>
                <c:y val="0.34798816568047419"/>
              </c:manualLayout>
            </c:layout>
            <c:tx>
              <c:rich>
                <a:bodyPr/>
                <a:lstStyle/>
                <a:p>
                  <a:pPr>
                    <a:defRPr sz="1100"/>
                  </a:pPr>
                  <a:r>
                    <a:rPr lang="en-US" sz="1100"/>
                    <a:t>Total Expense ($Millions)</a:t>
                  </a:r>
                </a:p>
              </c:rich>
            </c:tx>
          </c:dispUnitsLbl>
        </c:dispUnits>
      </c:valAx>
      <c:catAx>
        <c:axId val="75586176"/>
        <c:scaling>
          <c:orientation val="minMax"/>
        </c:scaling>
        <c:delete val="1"/>
        <c:axPos val="b"/>
        <c:tickLblPos val="none"/>
        <c:crossAx val="75584256"/>
        <c:crosses val="autoZero"/>
        <c:auto val="1"/>
        <c:lblAlgn val="ctr"/>
        <c:lblOffset val="100"/>
      </c:catAx>
      <c:dTable>
        <c:showHorzBorder val="1"/>
        <c:showVertBorder val="1"/>
        <c:showOutline val="1"/>
        <c:showKeys val="1"/>
      </c:dTable>
      <c:spPr>
        <a:noFill/>
        <a:ln w="25400">
          <a:noFill/>
        </a:ln>
      </c:spPr>
    </c:plotArea>
    <c:plotVisOnly val="1"/>
    <c:dispBlanksAs val="gap"/>
  </c:chart>
  <c:spPr>
    <a:solidFill>
      <a:srgbClr val="9BBB59">
        <a:lumMod val="40000"/>
        <a:lumOff val="60000"/>
      </a:srgbClr>
    </a:solidFill>
    <a:ln>
      <a:noFill/>
    </a:ln>
  </c:spPr>
  <c:printSettings>
    <c:headerFooter/>
    <c:pageMargins b="0.75000000000000189" l="0.70000000000000095" r="0.70000000000000095" t="0.75000000000000189" header="0.30000000000000032" footer="0.30000000000000032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Graph</a:t>
            </a:r>
            <a:r>
              <a:rPr lang="en-US" baseline="0"/>
              <a:t> 4: </a:t>
            </a:r>
            <a:r>
              <a:rPr lang="en-US"/>
              <a:t>Applicants</a:t>
            </a:r>
          </a:p>
        </c:rich>
      </c:tx>
      <c:layout>
        <c:manualLayout>
          <c:xMode val="edge"/>
          <c:yMode val="edge"/>
          <c:x val="0.44728948902270588"/>
          <c:y val="1.1816840828084506E-2"/>
        </c:manualLayout>
      </c:layout>
    </c:title>
    <c:plotArea>
      <c:layout>
        <c:manualLayout>
          <c:layoutTarget val="inner"/>
          <c:xMode val="edge"/>
          <c:yMode val="edge"/>
          <c:x val="0.18955383090138034"/>
          <c:y val="6.366315242297961E-2"/>
          <c:w val="0.68969228899126256"/>
          <c:h val="0.58078295920141232"/>
        </c:manualLayout>
      </c:layout>
      <c:barChart>
        <c:barDir val="col"/>
        <c:grouping val="clustered"/>
        <c:ser>
          <c:idx val="0"/>
          <c:order val="0"/>
          <c:tx>
            <c:strRef>
              <c:f>'Graphic Data'!$B$44</c:f>
              <c:strCache>
                <c:ptCount val="1"/>
                <c:pt idx="0">
                  <c:v>FTFT Freshman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rgbClr val="7030A0"/>
              </a:solidFill>
            </a:ln>
          </c:spPr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Val val="1"/>
          </c:dLbls>
          <c:cat>
            <c:strRef>
              <c:f>[0]!dl_applicant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[0]!ds_applicant_freshman</c:f>
              <c:numCache>
                <c:formatCode>_(* #,##0_);_(* \(#,##0\);_(* "-"??_);_(@_)</c:formatCode>
                <c:ptCount val="8"/>
                <c:pt idx="0">
                  <c:v>1165</c:v>
                </c:pt>
                <c:pt idx="1">
                  <c:v>1261</c:v>
                </c:pt>
                <c:pt idx="2">
                  <c:v>1399</c:v>
                </c:pt>
                <c:pt idx="3">
                  <c:v>1654</c:v>
                </c:pt>
                <c:pt idx="4">
                  <c:v>1638</c:v>
                </c:pt>
                <c:pt idx="5">
                  <c:v>1609</c:v>
                </c:pt>
                <c:pt idx="6">
                  <c:v>1540</c:v>
                </c:pt>
                <c:pt idx="7">
                  <c:v>1659</c:v>
                </c:pt>
              </c:numCache>
            </c:numRef>
          </c:val>
        </c:ser>
        <c:ser>
          <c:idx val="7"/>
          <c:order val="7"/>
          <c:tx>
            <c:strRef>
              <c:f>'Graphic Data'!$B$51</c:f>
              <c:strCache>
                <c:ptCount val="1"/>
                <c:pt idx="0">
                  <c:v>Law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Val val="1"/>
          </c:dLbls>
          <c:val>
            <c:numRef>
              <c:f>[0]!ds_applicant_law</c:f>
              <c:numCache>
                <c:formatCode>_(* #,##0_);_(* \(#,##0\);_(* "-"??_);_(@_)</c:formatCode>
                <c:ptCount val="8"/>
                <c:pt idx="0">
                  <c:v>147</c:v>
                </c:pt>
                <c:pt idx="1">
                  <c:v>297</c:v>
                </c:pt>
                <c:pt idx="2">
                  <c:v>619</c:v>
                </c:pt>
                <c:pt idx="3">
                  <c:v>591</c:v>
                </c:pt>
                <c:pt idx="4">
                  <c:v>469</c:v>
                </c:pt>
                <c:pt idx="5">
                  <c:v>383</c:v>
                </c:pt>
                <c:pt idx="6">
                  <c:v>934</c:v>
                </c:pt>
                <c:pt idx="7">
                  <c:v>1494</c:v>
                </c:pt>
              </c:numCache>
            </c:numRef>
          </c:val>
        </c:ser>
        <c:axId val="75815168"/>
        <c:axId val="75813248"/>
      </c:barChart>
      <c:lineChart>
        <c:grouping val="standard"/>
        <c:ser>
          <c:idx val="1"/>
          <c:order val="1"/>
          <c:tx>
            <c:strRef>
              <c:f>'Graphic Data'!$B$45</c:f>
              <c:strCache>
                <c:ptCount val="1"/>
                <c:pt idx="0">
                  <c:v>MC Transfers</c:v>
                </c:pt>
              </c:strCache>
            </c:strRef>
          </c:tx>
          <c:spPr>
            <a:ln w="22225"/>
          </c:spPr>
          <c:marker>
            <c:symbol val="square"/>
            <c:size val="6"/>
            <c:spPr>
              <a:ln>
                <a:solidFill>
                  <a:sysClr val="windowText" lastClr="000000"/>
                </a:solidFill>
              </a:ln>
            </c:spPr>
          </c:marker>
          <c:cat>
            <c:strRef>
              <c:f>[0]!dl_applicant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[0]!ds_applicant_mctransfer</c:f>
              <c:numCache>
                <c:formatCode>_(* #,##0_);_(* \(#,##0\);_(*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449</c:v>
                </c:pt>
                <c:pt idx="4">
                  <c:v>406</c:v>
                </c:pt>
                <c:pt idx="5">
                  <c:v>379</c:v>
                </c:pt>
                <c:pt idx="6">
                  <c:v>335</c:v>
                </c:pt>
                <c:pt idx="7">
                  <c:v>312</c:v>
                </c:pt>
              </c:numCache>
            </c:numRef>
          </c:val>
        </c:ser>
        <c:ser>
          <c:idx val="2"/>
          <c:order val="2"/>
          <c:tx>
            <c:strRef>
              <c:f>'Graphic Data'!$B$46</c:f>
              <c:strCache>
                <c:ptCount val="1"/>
                <c:pt idx="0">
                  <c:v>CAPA</c:v>
                </c:pt>
              </c:strCache>
            </c:strRef>
          </c:tx>
          <c:spPr>
            <a:ln w="22225"/>
          </c:spPr>
          <c:marker>
            <c:spPr>
              <a:ln>
                <a:solidFill>
                  <a:sysClr val="windowText" lastClr="000000"/>
                </a:solidFill>
              </a:ln>
            </c:spPr>
          </c:marker>
          <c:cat>
            <c:strRef>
              <c:f>[0]!dl_applicant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[0]!ds_applicant_CAPA</c:f>
              <c:numCache>
                <c:formatCode>_(* #,##0_);_(* \(#,##0\);_(*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206</c:v>
                </c:pt>
                <c:pt idx="4">
                  <c:v>150</c:v>
                </c:pt>
                <c:pt idx="5">
                  <c:v>160</c:v>
                </c:pt>
                <c:pt idx="6">
                  <c:v>111</c:v>
                </c:pt>
                <c:pt idx="7">
                  <c:v>114</c:v>
                </c:pt>
              </c:numCache>
            </c:numRef>
          </c:val>
        </c:ser>
        <c:ser>
          <c:idx val="3"/>
          <c:order val="3"/>
          <c:tx>
            <c:strRef>
              <c:f>'Graphic Data'!$B$47</c:f>
              <c:strCache>
                <c:ptCount val="1"/>
                <c:pt idx="0">
                  <c:v>RCA Transfers</c:v>
                </c:pt>
              </c:strCache>
            </c:strRef>
          </c:tx>
          <c:spPr>
            <a:ln w="22225"/>
          </c:spPr>
          <c:marker>
            <c:spPr>
              <a:ln>
                <a:solidFill>
                  <a:sysClr val="windowText" lastClr="000000"/>
                </a:solidFill>
              </a:ln>
            </c:spPr>
          </c:marker>
          <c:cat>
            <c:strRef>
              <c:f>[0]!dl_applicant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[0]!ds_applicant_rcatransfer</c:f>
              <c:numCache>
                <c:formatCode>_(* #,##0_);_(* \(#,##0\);_(*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528</c:v>
                </c:pt>
                <c:pt idx="4">
                  <c:v>388</c:v>
                </c:pt>
                <c:pt idx="5">
                  <c:v>304</c:v>
                </c:pt>
                <c:pt idx="6">
                  <c:v>466</c:v>
                </c:pt>
                <c:pt idx="7">
                  <c:v>267</c:v>
                </c:pt>
              </c:numCache>
            </c:numRef>
          </c:val>
        </c:ser>
        <c:ser>
          <c:idx val="4"/>
          <c:order val="4"/>
          <c:tx>
            <c:strRef>
              <c:f>'Graphic Data'!$B$48</c:f>
              <c:strCache>
                <c:ptCount val="1"/>
                <c:pt idx="0">
                  <c:v>MC Masters</c:v>
                </c:pt>
              </c:strCache>
            </c:strRef>
          </c:tx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</a:ln>
          </c:spPr>
          <c:marker>
            <c:spPr>
              <a:noFill/>
              <a:ln>
                <a:solidFill>
                  <a:sysClr val="windowText" lastClr="000000"/>
                </a:solidFill>
              </a:ln>
            </c:spPr>
          </c:marker>
          <c:cat>
            <c:strRef>
              <c:f>[0]!dl_applicant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[0]!ds_applicant_mcmaster</c:f>
              <c:numCache>
                <c:formatCode>_(* #,##0_);_(* \(#,##0\);_(*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380</c:v>
                </c:pt>
                <c:pt idx="4">
                  <c:v>262</c:v>
                </c:pt>
                <c:pt idx="5">
                  <c:v>280</c:v>
                </c:pt>
                <c:pt idx="6">
                  <c:v>329</c:v>
                </c:pt>
                <c:pt idx="7">
                  <c:v>475</c:v>
                </c:pt>
              </c:numCache>
            </c:numRef>
          </c:val>
        </c:ser>
        <c:ser>
          <c:idx val="5"/>
          <c:order val="5"/>
          <c:tx>
            <c:strRef>
              <c:f>'Graphic Data'!$B$49</c:f>
              <c:strCache>
                <c:ptCount val="1"/>
                <c:pt idx="0">
                  <c:v>RCA Masters</c:v>
                </c:pt>
              </c:strCache>
            </c:strRef>
          </c:tx>
          <c:marker>
            <c:spPr>
              <a:ln>
                <a:solidFill>
                  <a:sysClr val="windowText" lastClr="000000"/>
                </a:solidFill>
              </a:ln>
            </c:spPr>
          </c:marker>
          <c:val>
            <c:numRef>
              <c:f>[0]!ds_applicant_rcamaster</c:f>
              <c:numCache>
                <c:formatCode>_(* #,##0_);_(* \(#,##0\);_(*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398</c:v>
                </c:pt>
                <c:pt idx="4">
                  <c:v>416</c:v>
                </c:pt>
                <c:pt idx="5">
                  <c:v>315</c:v>
                </c:pt>
                <c:pt idx="6">
                  <c:v>349</c:v>
                </c:pt>
                <c:pt idx="7">
                  <c:v>474</c:v>
                </c:pt>
              </c:numCache>
            </c:numRef>
          </c:val>
        </c:ser>
        <c:ser>
          <c:idx val="6"/>
          <c:order val="6"/>
          <c:tx>
            <c:strRef>
              <c:f>'Graphic Data'!$B$50</c:f>
              <c:strCache>
                <c:ptCount val="1"/>
                <c:pt idx="0">
                  <c:v>Doctoral</c:v>
                </c:pt>
              </c:strCache>
            </c:strRef>
          </c:tx>
          <c:marker>
            <c:spPr>
              <a:ln>
                <a:solidFill>
                  <a:sysClr val="windowText" lastClr="000000"/>
                </a:solidFill>
              </a:ln>
            </c:spPr>
          </c:marker>
          <c:val>
            <c:numRef>
              <c:f>[0]!ds_applicant_doctoral</c:f>
              <c:numCache>
                <c:formatCode>_(* #,##0_);_(* \(#,##0\);_(*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166</c:v>
                </c:pt>
                <c:pt idx="4">
                  <c:v>126</c:v>
                </c:pt>
                <c:pt idx="5">
                  <c:v>88</c:v>
                </c:pt>
                <c:pt idx="6">
                  <c:v>79</c:v>
                </c:pt>
                <c:pt idx="7">
                  <c:v>89</c:v>
                </c:pt>
              </c:numCache>
            </c:numRef>
          </c:val>
        </c:ser>
        <c:marker val="1"/>
        <c:axId val="75788672"/>
        <c:axId val="75790592"/>
      </c:lineChart>
      <c:catAx>
        <c:axId val="75788672"/>
        <c:scaling>
          <c:orientation val="minMax"/>
        </c:scaling>
        <c:axPos val="b"/>
        <c:majorTickMark val="none"/>
        <c:tickLblPos val="nextTo"/>
        <c:crossAx val="75790592"/>
        <c:crosses val="autoZero"/>
        <c:auto val="1"/>
        <c:lblAlgn val="ctr"/>
        <c:lblOffset val="100"/>
      </c:catAx>
      <c:valAx>
        <c:axId val="7579059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Headcount</a:t>
                </a:r>
              </a:p>
            </c:rich>
          </c:tx>
        </c:title>
        <c:numFmt formatCode="#,##0" sourceLinked="0"/>
        <c:majorTickMark val="none"/>
        <c:tickLblPos val="nextTo"/>
        <c:crossAx val="75788672"/>
        <c:crosses val="autoZero"/>
        <c:crossBetween val="between"/>
        <c:majorUnit val="100"/>
      </c:valAx>
      <c:valAx>
        <c:axId val="75813248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Freshman and Law</a:t>
                </a:r>
              </a:p>
            </c:rich>
          </c:tx>
        </c:title>
        <c:numFmt formatCode="_(* #,##0_);_(* \(#,##0\);_(* &quot;-&quot;??_);_(@_)" sourceLinked="1"/>
        <c:tickLblPos val="nextTo"/>
        <c:crossAx val="75815168"/>
        <c:crosses val="max"/>
        <c:crossBetween val="between"/>
      </c:valAx>
      <c:catAx>
        <c:axId val="75815168"/>
        <c:scaling>
          <c:orientation val="minMax"/>
        </c:scaling>
        <c:delete val="1"/>
        <c:axPos val="b"/>
        <c:tickLblPos val="none"/>
        <c:crossAx val="75813248"/>
        <c:crosses val="autoZero"/>
        <c:auto val="1"/>
        <c:lblAlgn val="ctr"/>
        <c:lblOffset val="10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100"/>
            </a:pPr>
            <a:endParaRPr lang="en-US"/>
          </a:p>
        </c:txPr>
      </c:dTable>
    </c:plotArea>
    <c:plotVisOnly val="1"/>
    <c:dispBlanksAs val="gap"/>
  </c:chart>
  <c:spPr>
    <a:solidFill>
      <a:schemeClr val="accent3">
        <a:lumMod val="40000"/>
        <a:lumOff val="60000"/>
      </a:schemeClr>
    </a:solidFill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000000000000278" l="0.70000000000000095" r="0.70000000000000095" t="0.75000000000000278" header="0.30000000000000032" footer="0.30000000000000032"/>
    <c:pageSetup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Graph 5: New Enrollment</a:t>
            </a:r>
          </a:p>
        </c:rich>
      </c:tx>
      <c:layout>
        <c:manualLayout>
          <c:xMode val="edge"/>
          <c:yMode val="edge"/>
          <c:x val="0.44181675698813611"/>
          <c:y val="1.579779027475592E-3"/>
        </c:manualLayout>
      </c:layout>
    </c:title>
    <c:plotArea>
      <c:layout>
        <c:manualLayout>
          <c:layoutTarget val="inner"/>
          <c:xMode val="edge"/>
          <c:yMode val="edge"/>
          <c:x val="0.19075562661637169"/>
          <c:y val="5.1923007334017814E-2"/>
          <c:w val="0.72167877351737209"/>
          <c:h val="0.57495186677101162"/>
        </c:manualLayout>
      </c:layout>
      <c:barChart>
        <c:barDir val="col"/>
        <c:grouping val="clustered"/>
        <c:ser>
          <c:idx val="0"/>
          <c:order val="0"/>
          <c:tx>
            <c:strRef>
              <c:f>'Graphic Data'!$B$54</c:f>
              <c:strCache>
                <c:ptCount val="1"/>
                <c:pt idx="0">
                  <c:v>FTFT Freshman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rgbClr val="7030A0"/>
              </a:solidFill>
            </a:ln>
          </c:spPr>
          <c:dLbls>
            <c:showVal val="1"/>
          </c:dLbls>
          <c:cat>
            <c:strRef>
              <c:f>[0]!dl_new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[0]!ds_new_freshman</c:f>
              <c:numCache>
                <c:formatCode>_(* #,##0_);_(* \(#,##0\);_(* "-"??_);_(@_)</c:formatCode>
                <c:ptCount val="8"/>
                <c:pt idx="0">
                  <c:v>311</c:v>
                </c:pt>
                <c:pt idx="1">
                  <c:v>299</c:v>
                </c:pt>
                <c:pt idx="2">
                  <c:v>290</c:v>
                </c:pt>
                <c:pt idx="3">
                  <c:v>379</c:v>
                </c:pt>
                <c:pt idx="4">
                  <c:v>342</c:v>
                </c:pt>
                <c:pt idx="5">
                  <c:v>319</c:v>
                </c:pt>
                <c:pt idx="6">
                  <c:v>335</c:v>
                </c:pt>
                <c:pt idx="7">
                  <c:v>302</c:v>
                </c:pt>
              </c:numCache>
            </c:numRef>
          </c:val>
        </c:ser>
        <c:ser>
          <c:idx val="7"/>
          <c:order val="7"/>
          <c:tx>
            <c:strRef>
              <c:f>'Graphic Data'!$B$61</c:f>
              <c:strCache>
                <c:ptCount val="1"/>
                <c:pt idx="0">
                  <c:v>Law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dLbls>
            <c:showVal val="1"/>
          </c:dLbls>
          <c:cat>
            <c:strRef>
              <c:f>[0]!dl_new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[0]!ds_new_law</c:f>
              <c:numCache>
                <c:formatCode>_(* #,##0_);_(* \(#,##0\);_(* "-"??_);_(@_)</c:formatCode>
                <c:ptCount val="8"/>
                <c:pt idx="0">
                  <c:v>36</c:v>
                </c:pt>
                <c:pt idx="1">
                  <c:v>54</c:v>
                </c:pt>
                <c:pt idx="2">
                  <c:v>104</c:v>
                </c:pt>
                <c:pt idx="3">
                  <c:v>80</c:v>
                </c:pt>
                <c:pt idx="4">
                  <c:v>78</c:v>
                </c:pt>
                <c:pt idx="5">
                  <c:v>85</c:v>
                </c:pt>
                <c:pt idx="6">
                  <c:v>114</c:v>
                </c:pt>
                <c:pt idx="7">
                  <c:v>140</c:v>
                </c:pt>
              </c:numCache>
            </c:numRef>
          </c:val>
        </c:ser>
        <c:axId val="75834112"/>
        <c:axId val="75754112"/>
      </c:barChart>
      <c:lineChart>
        <c:grouping val="standard"/>
        <c:ser>
          <c:idx val="1"/>
          <c:order val="1"/>
          <c:tx>
            <c:strRef>
              <c:f>'Graphic Data'!$B$55</c:f>
              <c:strCache>
                <c:ptCount val="1"/>
                <c:pt idx="0">
                  <c:v>MC Transfers</c:v>
                </c:pt>
              </c:strCache>
            </c:strRef>
          </c:tx>
          <c:spPr>
            <a:ln w="22225"/>
          </c:spPr>
          <c:marker>
            <c:symbol val="square"/>
            <c:size val="4"/>
            <c:spPr>
              <a:ln>
                <a:solidFill>
                  <a:sysClr val="windowText" lastClr="000000"/>
                </a:solidFill>
              </a:ln>
            </c:spPr>
          </c:marker>
          <c:cat>
            <c:strRef>
              <c:f>[0]!dl_applicant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[0]!ds_new_mctransfer</c:f>
              <c:numCache>
                <c:formatCode>_(* #,##0_);_(* \(#,##0\);_(* "-"??_);_(@_)</c:formatCode>
                <c:ptCount val="8"/>
                <c:pt idx="0">
                  <c:v>119</c:v>
                </c:pt>
                <c:pt idx="1">
                  <c:v>107</c:v>
                </c:pt>
                <c:pt idx="2">
                  <c:v>109</c:v>
                </c:pt>
                <c:pt idx="3">
                  <c:v>153</c:v>
                </c:pt>
                <c:pt idx="4">
                  <c:v>130</c:v>
                </c:pt>
                <c:pt idx="5">
                  <c:v>148</c:v>
                </c:pt>
                <c:pt idx="6">
                  <c:v>136</c:v>
                </c:pt>
                <c:pt idx="7">
                  <c:v>118</c:v>
                </c:pt>
              </c:numCache>
            </c:numRef>
          </c:val>
        </c:ser>
        <c:ser>
          <c:idx val="2"/>
          <c:order val="2"/>
          <c:tx>
            <c:strRef>
              <c:f>'Graphic Data'!$B$56</c:f>
              <c:strCache>
                <c:ptCount val="1"/>
                <c:pt idx="0">
                  <c:v>CAPA</c:v>
                </c:pt>
              </c:strCache>
            </c:strRef>
          </c:tx>
          <c:spPr>
            <a:ln w="22225"/>
          </c:spPr>
          <c:marker>
            <c:spPr>
              <a:ln>
                <a:solidFill>
                  <a:sysClr val="windowText" lastClr="000000"/>
                </a:solidFill>
              </a:ln>
            </c:spPr>
          </c:marker>
          <c:cat>
            <c:strRef>
              <c:f>[0]!dl_applicant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[0]!ds_new_CAPA</c:f>
              <c:numCache>
                <c:formatCode>_(* #,##0_);_(* \(#,##0\);_(* "-"??_);_(@_)</c:formatCode>
                <c:ptCount val="8"/>
                <c:pt idx="0">
                  <c:v>156</c:v>
                </c:pt>
                <c:pt idx="1">
                  <c:v>150</c:v>
                </c:pt>
                <c:pt idx="2">
                  <c:v>102</c:v>
                </c:pt>
                <c:pt idx="3">
                  <c:v>179</c:v>
                </c:pt>
                <c:pt idx="4">
                  <c:v>134</c:v>
                </c:pt>
                <c:pt idx="5">
                  <c:v>154</c:v>
                </c:pt>
                <c:pt idx="6">
                  <c:v>140</c:v>
                </c:pt>
                <c:pt idx="7">
                  <c:v>114</c:v>
                </c:pt>
              </c:numCache>
            </c:numRef>
          </c:val>
        </c:ser>
        <c:ser>
          <c:idx val="3"/>
          <c:order val="3"/>
          <c:tx>
            <c:strRef>
              <c:f>'Graphic Data'!$B$57</c:f>
              <c:strCache>
                <c:ptCount val="1"/>
                <c:pt idx="0">
                  <c:v>RCA Transfers</c:v>
                </c:pt>
              </c:strCache>
            </c:strRef>
          </c:tx>
          <c:spPr>
            <a:ln w="22225"/>
          </c:spPr>
          <c:marker>
            <c:spPr>
              <a:ln>
                <a:solidFill>
                  <a:sysClr val="windowText" lastClr="000000"/>
                </a:solidFill>
              </a:ln>
            </c:spPr>
          </c:marker>
          <c:cat>
            <c:strRef>
              <c:f>[0]!dl_applicant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[0]!ds_new_rcatransfer</c:f>
              <c:numCache>
                <c:formatCode>_(* #,##0_);_(* \(#,##0\);_(* "-"??_);_(@_)</c:formatCode>
                <c:ptCount val="8"/>
                <c:pt idx="0">
                  <c:v>167</c:v>
                </c:pt>
                <c:pt idx="1">
                  <c:v>225</c:v>
                </c:pt>
                <c:pt idx="2">
                  <c:v>242</c:v>
                </c:pt>
                <c:pt idx="3">
                  <c:v>296</c:v>
                </c:pt>
                <c:pt idx="4">
                  <c:v>321</c:v>
                </c:pt>
                <c:pt idx="5">
                  <c:v>301</c:v>
                </c:pt>
                <c:pt idx="6">
                  <c:v>263</c:v>
                </c:pt>
                <c:pt idx="7">
                  <c:v>256</c:v>
                </c:pt>
              </c:numCache>
            </c:numRef>
          </c:val>
        </c:ser>
        <c:ser>
          <c:idx val="4"/>
          <c:order val="4"/>
          <c:tx>
            <c:strRef>
              <c:f>'Graphic Data'!$B$58</c:f>
              <c:strCache>
                <c:ptCount val="1"/>
                <c:pt idx="0">
                  <c:v>MC Masters</c:v>
                </c:pt>
              </c:strCache>
            </c:strRef>
          </c:tx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</a:ln>
          </c:spPr>
          <c:marker>
            <c:spPr>
              <a:noFill/>
              <a:ln>
                <a:solidFill>
                  <a:sysClr val="windowText" lastClr="000000"/>
                </a:solidFill>
              </a:ln>
            </c:spPr>
          </c:marker>
          <c:cat>
            <c:strRef>
              <c:f>[0]!dl_applicant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[0]!ds_new_mcmaster</c:f>
              <c:numCache>
                <c:formatCode>_(* #,##0_);_(* \(#,##0\);_(* "-"??_);_(@_)</c:formatCode>
                <c:ptCount val="8"/>
                <c:pt idx="0">
                  <c:v>323</c:v>
                </c:pt>
                <c:pt idx="1">
                  <c:v>391</c:v>
                </c:pt>
                <c:pt idx="2">
                  <c:v>449</c:v>
                </c:pt>
                <c:pt idx="3">
                  <c:v>405</c:v>
                </c:pt>
                <c:pt idx="4">
                  <c:v>379</c:v>
                </c:pt>
                <c:pt idx="5">
                  <c:v>327</c:v>
                </c:pt>
                <c:pt idx="6">
                  <c:v>378</c:v>
                </c:pt>
                <c:pt idx="7">
                  <c:v>375</c:v>
                </c:pt>
              </c:numCache>
            </c:numRef>
          </c:val>
        </c:ser>
        <c:ser>
          <c:idx val="5"/>
          <c:order val="5"/>
          <c:tx>
            <c:strRef>
              <c:f>'Graphic Data'!$B$59</c:f>
              <c:strCache>
                <c:ptCount val="1"/>
                <c:pt idx="0">
                  <c:v>RCA Masters</c:v>
                </c:pt>
              </c:strCache>
            </c:strRef>
          </c:tx>
          <c:marker>
            <c:spPr>
              <a:ln>
                <a:solidFill>
                  <a:sysClr val="windowText" lastClr="000000"/>
                </a:solidFill>
              </a:ln>
            </c:spPr>
          </c:marker>
          <c:val>
            <c:numRef>
              <c:f>[0]!ds_new_rcamaster</c:f>
              <c:numCache>
                <c:formatCode>_(* #,##0_);_(* \(#,##0\);_(* "-"??_);_(@_)</c:formatCode>
                <c:ptCount val="8"/>
                <c:pt idx="0">
                  <c:v>301</c:v>
                </c:pt>
                <c:pt idx="1">
                  <c:v>273</c:v>
                </c:pt>
                <c:pt idx="2">
                  <c:v>241</c:v>
                </c:pt>
                <c:pt idx="3">
                  <c:v>233</c:v>
                </c:pt>
                <c:pt idx="4">
                  <c:v>264</c:v>
                </c:pt>
                <c:pt idx="5">
                  <c:v>202</c:v>
                </c:pt>
                <c:pt idx="6">
                  <c:v>202</c:v>
                </c:pt>
                <c:pt idx="7">
                  <c:v>176</c:v>
                </c:pt>
              </c:numCache>
            </c:numRef>
          </c:val>
        </c:ser>
        <c:ser>
          <c:idx val="6"/>
          <c:order val="6"/>
          <c:tx>
            <c:strRef>
              <c:f>'Graphic Data'!$B$60</c:f>
              <c:strCache>
                <c:ptCount val="1"/>
                <c:pt idx="0">
                  <c:v>Doctoral</c:v>
                </c:pt>
              </c:strCache>
            </c:strRef>
          </c:tx>
          <c:marker>
            <c:spPr>
              <a:ln>
                <a:solidFill>
                  <a:sysClr val="windowText" lastClr="000000"/>
                </a:solidFill>
              </a:ln>
            </c:spPr>
          </c:marker>
          <c:val>
            <c:numRef>
              <c:f>[0]!ds_new_doctoral</c:f>
              <c:numCache>
                <c:formatCode>_(* #,##0_);_(* \(#,##0\);_(* "-"??_);_(@_)</c:formatCode>
                <c:ptCount val="8"/>
                <c:pt idx="0">
                  <c:v>101</c:v>
                </c:pt>
                <c:pt idx="1">
                  <c:v>87</c:v>
                </c:pt>
                <c:pt idx="2">
                  <c:v>62</c:v>
                </c:pt>
                <c:pt idx="3">
                  <c:v>85</c:v>
                </c:pt>
                <c:pt idx="4">
                  <c:v>70</c:v>
                </c:pt>
                <c:pt idx="5">
                  <c:v>60</c:v>
                </c:pt>
                <c:pt idx="6">
                  <c:v>89</c:v>
                </c:pt>
                <c:pt idx="7">
                  <c:v>77</c:v>
                </c:pt>
              </c:numCache>
            </c:numRef>
          </c:val>
        </c:ser>
        <c:marker val="1"/>
        <c:axId val="75741824"/>
        <c:axId val="75752192"/>
      </c:lineChart>
      <c:catAx>
        <c:axId val="75741824"/>
        <c:scaling>
          <c:orientation val="minMax"/>
        </c:scaling>
        <c:axPos val="b"/>
        <c:majorTickMark val="none"/>
        <c:tickLblPos val="nextTo"/>
        <c:crossAx val="75752192"/>
        <c:crosses val="autoZero"/>
        <c:auto val="1"/>
        <c:lblAlgn val="ctr"/>
        <c:lblOffset val="100"/>
      </c:catAx>
      <c:valAx>
        <c:axId val="7575219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Headcount</a:t>
                </a:r>
              </a:p>
            </c:rich>
          </c:tx>
        </c:title>
        <c:numFmt formatCode="#,##0" sourceLinked="0"/>
        <c:majorTickMark val="none"/>
        <c:tickLblPos val="nextTo"/>
        <c:crossAx val="75741824"/>
        <c:crosses val="autoZero"/>
        <c:crossBetween val="between"/>
      </c:valAx>
      <c:valAx>
        <c:axId val="75754112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Freshman and Law</a:t>
                </a:r>
              </a:p>
            </c:rich>
          </c:tx>
        </c:title>
        <c:numFmt formatCode="_(* #,##0_);_(* \(#,##0\);_(* &quot;-&quot;??_);_(@_)" sourceLinked="1"/>
        <c:tickLblPos val="nextTo"/>
        <c:crossAx val="75834112"/>
        <c:crosses val="max"/>
        <c:crossBetween val="between"/>
      </c:valAx>
      <c:catAx>
        <c:axId val="75834112"/>
        <c:scaling>
          <c:orientation val="minMax"/>
        </c:scaling>
        <c:delete val="1"/>
        <c:axPos val="b"/>
        <c:tickLblPos val="none"/>
        <c:crossAx val="75754112"/>
        <c:crosses val="autoZero"/>
        <c:auto val="1"/>
        <c:lblAlgn val="ctr"/>
        <c:lblOffset val="100"/>
      </c:catAx>
      <c:dTable>
        <c:showHorzBorder val="1"/>
        <c:showVertBorder val="1"/>
        <c:showOutline val="1"/>
        <c:showKeys val="1"/>
      </c:dTable>
    </c:plotArea>
    <c:plotVisOnly val="1"/>
    <c:dispBlanksAs val="gap"/>
  </c:chart>
  <c:spPr>
    <a:solidFill>
      <a:schemeClr val="accent3">
        <a:lumMod val="40000"/>
        <a:lumOff val="60000"/>
      </a:schemeClr>
    </a:solidFill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0000000000003" l="0.70000000000000095" r="0.70000000000000095" t="0.750000000000003" header="0.30000000000000032" footer="0.30000000000000032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l">
              <a:defRPr/>
            </a:pPr>
            <a:r>
              <a:rPr lang="en-US"/>
              <a:t>Graph 6: New First-Time</a:t>
            </a:r>
            <a:r>
              <a:rPr lang="en-US" baseline="0"/>
              <a:t> Traditional-Age Freshman: GPA &amp; SAT</a:t>
            </a:r>
            <a:endParaRPr lang="en-US"/>
          </a:p>
        </c:rich>
      </c:tx>
      <c:layout>
        <c:manualLayout>
          <c:xMode val="edge"/>
          <c:yMode val="edge"/>
          <c:x val="0.22183346513992291"/>
          <c:y val="1.3414094552500359E-2"/>
        </c:manualLayout>
      </c:layout>
    </c:title>
    <c:plotArea>
      <c:layout>
        <c:manualLayout>
          <c:layoutTarget val="inner"/>
          <c:xMode val="edge"/>
          <c:yMode val="edge"/>
          <c:x val="0.14373630889629088"/>
          <c:y val="8.3481197639534141E-2"/>
          <c:w val="0.70824473687098699"/>
          <c:h val="0.73856385987615647"/>
        </c:manualLayout>
      </c:layout>
      <c:barChart>
        <c:barDir val="col"/>
        <c:grouping val="clustered"/>
        <c:ser>
          <c:idx val="1"/>
          <c:order val="1"/>
          <c:tx>
            <c:strRef>
              <c:f>'Graphic Data'!$B$65</c:f>
              <c:strCache>
                <c:ptCount val="1"/>
                <c:pt idx="0">
                  <c:v>SAT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2225"/>
          </c:spPr>
          <c:dLbls>
            <c:showVal val="1"/>
          </c:dLbls>
          <c:cat>
            <c:strRef>
              <c:f>[0]!dl_freshman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[0]!ds_freshman_SAT</c:f>
              <c:numCache>
                <c:formatCode>_(* #,##0_);_(* \(#,##0\);_(* "-"??_);_(@_)</c:formatCode>
                <c:ptCount val="8"/>
                <c:pt idx="0">
                  <c:v>1006</c:v>
                </c:pt>
                <c:pt idx="1">
                  <c:v>1011</c:v>
                </c:pt>
                <c:pt idx="2">
                  <c:v>1003</c:v>
                </c:pt>
                <c:pt idx="3">
                  <c:v>1010</c:v>
                </c:pt>
                <c:pt idx="4">
                  <c:v>1027</c:v>
                </c:pt>
                <c:pt idx="5">
                  <c:v>1009</c:v>
                </c:pt>
                <c:pt idx="6">
                  <c:v>976.76</c:v>
                </c:pt>
                <c:pt idx="7">
                  <c:v>991.69172932330832</c:v>
                </c:pt>
              </c:numCache>
            </c:numRef>
          </c:val>
        </c:ser>
        <c:axId val="75903360"/>
        <c:axId val="75905280"/>
      </c:barChart>
      <c:lineChart>
        <c:grouping val="standard"/>
        <c:ser>
          <c:idx val="0"/>
          <c:order val="0"/>
          <c:tx>
            <c:strRef>
              <c:f>'Graphic Data'!$B$64</c:f>
              <c:strCache>
                <c:ptCount val="1"/>
                <c:pt idx="0">
                  <c:v>GPA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noFill/>
              <a:ln>
                <a:solidFill>
                  <a:sysClr val="windowText" lastClr="000000"/>
                </a:solidFill>
              </a:ln>
            </c:spPr>
          </c:marker>
          <c:cat>
            <c:strRef>
              <c:f>[0]!dl_freshman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[0]!ds_freshman_gpa</c:f>
              <c:numCache>
                <c:formatCode>_(* #,##0.00_);_(* \(#,##0.00\);_(* "-"??_);_(@_)</c:formatCode>
                <c:ptCount val="8"/>
                <c:pt idx="0">
                  <c:v>3.44</c:v>
                </c:pt>
                <c:pt idx="1">
                  <c:v>3.48</c:v>
                </c:pt>
                <c:pt idx="2">
                  <c:v>3.49</c:v>
                </c:pt>
                <c:pt idx="3">
                  <c:v>3.48</c:v>
                </c:pt>
                <c:pt idx="4">
                  <c:v>3.46</c:v>
                </c:pt>
                <c:pt idx="5">
                  <c:v>3.45</c:v>
                </c:pt>
                <c:pt idx="6">
                  <c:v>3.3478143712574906</c:v>
                </c:pt>
                <c:pt idx="7">
                  <c:v>3.3502622377622364</c:v>
                </c:pt>
              </c:numCache>
            </c:numRef>
          </c:val>
        </c:ser>
        <c:marker val="1"/>
        <c:axId val="75917568"/>
        <c:axId val="75915648"/>
      </c:lineChart>
      <c:catAx>
        <c:axId val="75903360"/>
        <c:scaling>
          <c:orientation val="minMax"/>
        </c:scaling>
        <c:axPos val="b"/>
        <c:majorTickMark val="none"/>
        <c:tickLblPos val="nextTo"/>
        <c:crossAx val="75905280"/>
        <c:crosses val="autoZero"/>
        <c:auto val="1"/>
        <c:lblAlgn val="ctr"/>
        <c:lblOffset val="100"/>
      </c:catAx>
      <c:valAx>
        <c:axId val="7590528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GPA</a:t>
                </a:r>
              </a:p>
            </c:rich>
          </c:tx>
          <c:layout>
            <c:manualLayout>
              <c:xMode val="edge"/>
              <c:yMode val="edge"/>
              <c:x val="0.92850015043593148"/>
              <c:y val="0.39500820881631921"/>
            </c:manualLayout>
          </c:layout>
        </c:title>
        <c:numFmt formatCode="#,##0" sourceLinked="0"/>
        <c:majorTickMark val="none"/>
        <c:tickLblPos val="nextTo"/>
        <c:crossAx val="75903360"/>
        <c:crosses val="autoZero"/>
        <c:crossBetween val="between"/>
      </c:valAx>
      <c:valAx>
        <c:axId val="75915648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SAT</a:t>
                </a:r>
              </a:p>
            </c:rich>
          </c:tx>
          <c:layout>
            <c:manualLayout>
              <c:xMode val="edge"/>
              <c:yMode val="edge"/>
              <c:x val="2.8084744998121754E-2"/>
              <c:y val="0.38296899019631891"/>
            </c:manualLayout>
          </c:layout>
        </c:title>
        <c:numFmt formatCode="#,##0.00" sourceLinked="0"/>
        <c:tickLblPos val="nextTo"/>
        <c:crossAx val="75917568"/>
        <c:crosses val="max"/>
        <c:crossBetween val="between"/>
      </c:valAx>
      <c:catAx>
        <c:axId val="75917568"/>
        <c:scaling>
          <c:orientation val="minMax"/>
        </c:scaling>
        <c:delete val="1"/>
        <c:axPos val="b"/>
        <c:tickLblPos val="none"/>
        <c:crossAx val="75915648"/>
        <c:crosses val="autoZero"/>
        <c:auto val="1"/>
        <c:lblAlgn val="ctr"/>
        <c:lblOffset val="100"/>
      </c:catAx>
      <c:dTable>
        <c:showHorzBorder val="1"/>
        <c:showVertBorder val="1"/>
        <c:showOutline val="1"/>
        <c:showKeys val="1"/>
      </c:dTable>
    </c:plotArea>
    <c:plotVisOnly val="1"/>
    <c:dispBlanksAs val="gap"/>
  </c:chart>
  <c:spPr>
    <a:solidFill>
      <a:schemeClr val="accent3">
        <a:lumMod val="40000"/>
        <a:lumOff val="60000"/>
      </a:schemeClr>
    </a:solidFill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000000000000322" l="0.70000000000000095" r="0.70000000000000095" t="0.75000000000000322" header="0.30000000000000032" footer="0.30000000000000032"/>
    <c:pageSetup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Graph 7: First Fall-to-Fall Retention Rate of Undergraduate Students</a:t>
            </a:r>
          </a:p>
        </c:rich>
      </c:tx>
    </c:title>
    <c:plotArea>
      <c:layout>
        <c:manualLayout>
          <c:layoutTarget val="inner"/>
          <c:xMode val="edge"/>
          <c:yMode val="edge"/>
          <c:x val="0.16250108912817071"/>
          <c:y val="7.0358370152184588E-2"/>
          <c:w val="0.77638109050604465"/>
          <c:h val="0.72372169973598754"/>
        </c:manualLayout>
      </c:layout>
      <c:barChart>
        <c:barDir val="col"/>
        <c:grouping val="clustered"/>
        <c:ser>
          <c:idx val="0"/>
          <c:order val="0"/>
          <c:tx>
            <c:strRef>
              <c:f>'Graphic Data'!$B$68</c:f>
              <c:strCache>
                <c:ptCount val="1"/>
                <c:pt idx="0">
                  <c:v>MC Freshman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/>
          </c:spPr>
          <c:dLbls>
            <c:showVal val="1"/>
          </c:dLbls>
          <c:cat>
            <c:strRef>
              <c:f>[0]!dl_retention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[0]!ds_retention_freshman</c:f>
              <c:numCache>
                <c:formatCode>0%</c:formatCode>
                <c:ptCount val="8"/>
                <c:pt idx="0">
                  <c:v>0.82807017543859651</c:v>
                </c:pt>
                <c:pt idx="1">
                  <c:v>0.84262295081967209</c:v>
                </c:pt>
                <c:pt idx="2">
                  <c:v>0.87755102040816324</c:v>
                </c:pt>
                <c:pt idx="3">
                  <c:v>0.87543252595155707</c:v>
                </c:pt>
                <c:pt idx="4">
                  <c:v>0.88800000000000001</c:v>
                </c:pt>
                <c:pt idx="5">
                  <c:v>0.80421686746987953</c:v>
                </c:pt>
                <c:pt idx="6">
                  <c:v>0.84713375796178347</c:v>
                </c:pt>
                <c:pt idx="7">
                  <c:v>0.78742514970059885</c:v>
                </c:pt>
              </c:numCache>
            </c:numRef>
          </c:val>
        </c:ser>
        <c:axId val="76036736"/>
        <c:axId val="76043008"/>
      </c:barChart>
      <c:lineChart>
        <c:grouping val="standard"/>
        <c:ser>
          <c:idx val="1"/>
          <c:order val="1"/>
          <c:tx>
            <c:strRef>
              <c:f>'Graphic Data'!$B$69</c:f>
              <c:strCache>
                <c:ptCount val="1"/>
                <c:pt idx="0">
                  <c:v>MC Transfers</c:v>
                </c:pt>
              </c:strCache>
            </c:strRef>
          </c:tx>
          <c:spPr>
            <a:ln w="22225"/>
          </c:spPr>
          <c:marker>
            <c:symbol val="square"/>
            <c:size val="4"/>
            <c:spPr>
              <a:ln w="3175">
                <a:solidFill>
                  <a:schemeClr val="tx1"/>
                </a:solidFill>
              </a:ln>
            </c:spPr>
          </c:marker>
          <c:cat>
            <c:strRef>
              <c:f>[0]!dl_retention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[0]!ds_retention_transfer</c:f>
              <c:numCache>
                <c:formatCode>0%</c:formatCode>
                <c:ptCount val="8"/>
                <c:pt idx="0">
                  <c:v>0.73643410852713176</c:v>
                </c:pt>
                <c:pt idx="1">
                  <c:v>0.81481481481481477</c:v>
                </c:pt>
                <c:pt idx="2">
                  <c:v>0.75454545454545452</c:v>
                </c:pt>
                <c:pt idx="3">
                  <c:v>0.84761904761904761</c:v>
                </c:pt>
                <c:pt idx="4">
                  <c:v>0.8125</c:v>
                </c:pt>
                <c:pt idx="5">
                  <c:v>0.86614173228346458</c:v>
                </c:pt>
                <c:pt idx="6">
                  <c:v>0.76470588235294112</c:v>
                </c:pt>
                <c:pt idx="7">
                  <c:v>0.76984126984126988</c:v>
                </c:pt>
              </c:numCache>
            </c:numRef>
          </c:val>
        </c:ser>
        <c:ser>
          <c:idx val="2"/>
          <c:order val="2"/>
          <c:tx>
            <c:strRef>
              <c:f>'Graphic Data'!$B$70</c:f>
              <c:strCache>
                <c:ptCount val="1"/>
                <c:pt idx="0">
                  <c:v>CAPA</c:v>
                </c:pt>
              </c:strCache>
            </c:strRef>
          </c:tx>
          <c:marker>
            <c:spPr>
              <a:ln>
                <a:solidFill>
                  <a:sysClr val="windowText" lastClr="000000"/>
                </a:solidFill>
              </a:ln>
            </c:spPr>
          </c:marker>
          <c:val>
            <c:numRef>
              <c:f>[0]!ds_retention_capa</c:f>
              <c:numCache>
                <c:formatCode>0%</c:formatCode>
                <c:ptCount val="8"/>
                <c:pt idx="0">
                  <c:v>0.74611398963730569</c:v>
                </c:pt>
                <c:pt idx="1">
                  <c:v>0.84615384615384615</c:v>
                </c:pt>
                <c:pt idx="2">
                  <c:v>0.71241830065359479</c:v>
                </c:pt>
                <c:pt idx="3">
                  <c:v>0.73</c:v>
                </c:pt>
                <c:pt idx="4">
                  <c:v>0.84745762711864403</c:v>
                </c:pt>
                <c:pt idx="5">
                  <c:v>0.80597014925373134</c:v>
                </c:pt>
                <c:pt idx="6">
                  <c:v>0.80392156862745101</c:v>
                </c:pt>
                <c:pt idx="7">
                  <c:v>0.8</c:v>
                </c:pt>
              </c:numCache>
            </c:numRef>
          </c:val>
        </c:ser>
        <c:ser>
          <c:idx val="3"/>
          <c:order val="3"/>
          <c:tx>
            <c:strRef>
              <c:f>'Graphic Data'!$B$71</c:f>
              <c:strCache>
                <c:ptCount val="1"/>
                <c:pt idx="0">
                  <c:v>RCA</c:v>
                </c:pt>
              </c:strCache>
            </c:strRef>
          </c:tx>
          <c:marker>
            <c:spPr>
              <a:ln>
                <a:solidFill>
                  <a:sysClr val="windowText" lastClr="000000"/>
                </a:solidFill>
              </a:ln>
            </c:spPr>
          </c:marker>
          <c:val>
            <c:numRef>
              <c:f>[0]!ds_retention_rca</c:f>
              <c:numCache>
                <c:formatCode>0%</c:formatCode>
                <c:ptCount val="8"/>
                <c:pt idx="0">
                  <c:v>0.69135802469135799</c:v>
                </c:pt>
                <c:pt idx="1">
                  <c:v>0.74850299401197606</c:v>
                </c:pt>
                <c:pt idx="2">
                  <c:v>0.70403587443946192</c:v>
                </c:pt>
                <c:pt idx="3">
                  <c:v>0.70036101083032487</c:v>
                </c:pt>
                <c:pt idx="4">
                  <c:v>0.76949152542372878</c:v>
                </c:pt>
                <c:pt idx="5">
                  <c:v>0.74675324675324672</c:v>
                </c:pt>
                <c:pt idx="6">
                  <c:v>0.74747474747474751</c:v>
                </c:pt>
                <c:pt idx="7">
                  <c:v>0.70992366412213737</c:v>
                </c:pt>
              </c:numCache>
            </c:numRef>
          </c:val>
        </c:ser>
        <c:marker val="1"/>
        <c:axId val="76036736"/>
        <c:axId val="76043008"/>
      </c:lineChart>
      <c:catAx>
        <c:axId val="76036736"/>
        <c:scaling>
          <c:orientation val="minMax"/>
        </c:scaling>
        <c:axPos val="b"/>
        <c:majorTickMark val="none"/>
        <c:tickLblPos val="nextTo"/>
        <c:crossAx val="76043008"/>
        <c:crosses val="autoZero"/>
        <c:auto val="1"/>
        <c:lblAlgn val="ctr"/>
        <c:lblOffset val="100"/>
      </c:catAx>
      <c:valAx>
        <c:axId val="76043008"/>
        <c:scaling>
          <c:orientation val="minMax"/>
          <c:max val="1"/>
          <c:min val="0.30000000000000032"/>
        </c:scaling>
        <c:axPos val="l"/>
        <c:majorGridlines/>
        <c:numFmt formatCode="0%" sourceLinked="1"/>
        <c:majorTickMark val="none"/>
        <c:tickLblPos val="nextTo"/>
        <c:crossAx val="76036736"/>
        <c:crosses val="autoZero"/>
        <c:crossBetween val="between"/>
        <c:majorUnit val="0.1"/>
      </c:valAx>
      <c:dTable>
        <c:showHorzBorder val="1"/>
        <c:showVertBorder val="1"/>
        <c:showOutline val="1"/>
        <c:showKeys val="1"/>
      </c:dTable>
      <c:spPr>
        <a:solidFill>
          <a:schemeClr val="bg1"/>
        </a:solidFill>
        <a:ln w="25400">
          <a:noFill/>
        </a:ln>
      </c:spPr>
    </c:plotArea>
    <c:plotVisOnly val="1"/>
    <c:dispBlanksAs val="gap"/>
  </c:chart>
  <c:spPr>
    <a:solidFill>
      <a:srgbClr val="9BBB59">
        <a:lumMod val="40000"/>
        <a:lumOff val="60000"/>
      </a:srgbClr>
    </a:solidFill>
    <a:ln>
      <a:noFill/>
    </a:ln>
  </c:spPr>
  <c:txPr>
    <a:bodyPr/>
    <a:lstStyle/>
    <a:p>
      <a:pPr>
        <a:defRPr sz="1100"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strLit>
              <c:ptCount val="5"/>
              <c:pt idx="0">
                <c:v>03</c:v>
              </c:pt>
              <c:pt idx="1">
                <c:v>I</c:v>
              </c:pt>
              <c:pt idx="2">
                <c:v>II</c:v>
              </c:pt>
              <c:pt idx="3">
                <c:v>III</c:v>
              </c:pt>
              <c:pt idx="4">
                <c:v>04</c:v>
              </c:pt>
            </c:strLit>
          </c:cat>
          <c:val>
            <c:numLit>
              <c:formatCode>General</c:formatCode>
              <c:ptCount val="5"/>
              <c:pt idx="0">
                <c:v>0.44</c:v>
              </c:pt>
              <c:pt idx="1">
                <c:v>0.38000000000000089</c:v>
              </c:pt>
              <c:pt idx="2">
                <c:v>0.3900000000000009</c:v>
              </c:pt>
              <c:pt idx="3">
                <c:v>0.42000000000000032</c:v>
              </c:pt>
              <c:pt idx="4">
                <c:v>0.42000000000000032</c:v>
              </c:pt>
            </c:numLit>
          </c:val>
        </c:ser>
        <c:marker val="1"/>
        <c:axId val="73385472"/>
        <c:axId val="73387392"/>
      </c:lineChart>
      <c:catAx>
        <c:axId val="73385472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387392"/>
        <c:crosses val="autoZero"/>
        <c:lblAlgn val="ctr"/>
        <c:lblOffset val="100"/>
        <c:tickLblSkip val="1"/>
        <c:tickMarkSkip val="1"/>
      </c:catAx>
      <c:valAx>
        <c:axId val="733873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385472"/>
        <c:crosses val="autoZero"/>
        <c:crossBetween val="between"/>
      </c:valAx>
      <c:spPr>
        <a:solidFill>
          <a:srgbClr val="FFFFFF"/>
        </a:solidFill>
        <a:ln w="12700">
          <a:solidFill>
            <a:srgbClr val="7D674B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Graph 8:</a:t>
            </a:r>
            <a:r>
              <a:rPr lang="en-US" baseline="0"/>
              <a:t> </a:t>
            </a:r>
            <a:r>
              <a:rPr lang="en-US"/>
              <a:t>Graduation Rate of Main Campus</a:t>
            </a:r>
            <a:r>
              <a:rPr lang="en-US" baseline="0"/>
              <a:t> Undergraduates</a:t>
            </a:r>
            <a:endParaRPr lang="en-US"/>
          </a:p>
        </c:rich>
      </c:tx>
      <c:layout>
        <c:manualLayout>
          <c:xMode val="edge"/>
          <c:yMode val="edge"/>
          <c:x val="0.31703655335766079"/>
          <c:y val="9.9800399201597119E-3"/>
        </c:manualLayout>
      </c:layout>
    </c:title>
    <c:plotArea>
      <c:layout>
        <c:manualLayout>
          <c:layoutTarget val="inner"/>
          <c:xMode val="edge"/>
          <c:yMode val="edge"/>
          <c:x val="0.20094424094424129"/>
          <c:y val="5.6545458270044813E-2"/>
          <c:w val="0.73588617886178853"/>
          <c:h val="0.73314426265579324"/>
        </c:manualLayout>
      </c:layout>
      <c:barChart>
        <c:barDir val="col"/>
        <c:grouping val="clustered"/>
        <c:ser>
          <c:idx val="0"/>
          <c:order val="0"/>
          <c:tx>
            <c:strRef>
              <c:f>'Graphic Data'!$B$75</c:f>
              <c:strCache>
                <c:ptCount val="1"/>
                <c:pt idx="0">
                  <c:v>MC Freshman 6YR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/>
          </c:spPr>
          <c:dLbls>
            <c:dLbl>
              <c:idx val="0"/>
              <c:layout>
                <c:manualLayout>
                  <c:x val="-4.8840048840048909E-3"/>
                  <c:y val="4.6920821114369467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5.4740957966764418E-2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2.5415444770283412E-2"/>
                </c:manualLayout>
              </c:layout>
              <c:showVal val="1"/>
            </c:dLbl>
            <c:dLbl>
              <c:idx val="4"/>
              <c:layout>
                <c:manualLayout>
                  <c:x val="0"/>
                  <c:y val="3.5190615835777136E-2"/>
                </c:manualLayout>
              </c:layout>
              <c:showVal val="1"/>
            </c:dLbl>
            <c:dLbl>
              <c:idx val="5"/>
              <c:layout>
                <c:manualLayout>
                  <c:x val="0"/>
                  <c:y val="3.1280547409579688E-2"/>
                </c:manualLayout>
              </c:layout>
              <c:showVal val="1"/>
            </c:dLbl>
            <c:dLbl>
              <c:idx val="6"/>
              <c:layout>
                <c:manualLayout>
                  <c:x val="0"/>
                  <c:y val="3.5190615835777136E-2"/>
                </c:manualLayout>
              </c:layout>
              <c:showVal val="1"/>
            </c:dLbl>
            <c:dLbl>
              <c:idx val="7"/>
              <c:layout>
                <c:manualLayout>
                  <c:x val="0"/>
                  <c:y val="4.6920821114369467E-2"/>
                </c:manualLayout>
              </c:layout>
              <c:showVal val="1"/>
            </c:dLbl>
            <c:showVal val="1"/>
          </c:dLbls>
          <c:cat>
            <c:strRef>
              <c:f>[0]!dl_graduation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[0]!ds_graduation_Freshman6</c:f>
              <c:numCache>
                <c:formatCode>0%</c:formatCode>
                <c:ptCount val="8"/>
                <c:pt idx="0">
                  <c:v>0.46195652173913043</c:v>
                </c:pt>
                <c:pt idx="1">
                  <c:v>0.46938775510204084</c:v>
                </c:pt>
                <c:pt idx="2">
                  <c:v>0.50495049504950495</c:v>
                </c:pt>
                <c:pt idx="3">
                  <c:v>0.48909657320872274</c:v>
                </c:pt>
                <c:pt idx="4">
                  <c:v>0.52500000000000002</c:v>
                </c:pt>
                <c:pt idx="5">
                  <c:v>0.50877192982456143</c:v>
                </c:pt>
                <c:pt idx="6">
                  <c:v>0.58032786885245902</c:v>
                </c:pt>
                <c:pt idx="7">
                  <c:v>0.61224489795918369</c:v>
                </c:pt>
              </c:numCache>
            </c:numRef>
          </c:val>
        </c:ser>
        <c:axId val="75498624"/>
        <c:axId val="75500160"/>
      </c:barChart>
      <c:lineChart>
        <c:grouping val="standard"/>
        <c:ser>
          <c:idx val="1"/>
          <c:order val="1"/>
          <c:tx>
            <c:strRef>
              <c:f>'Graphic Data'!$B$74</c:f>
              <c:strCache>
                <c:ptCount val="1"/>
                <c:pt idx="0">
                  <c:v>MC Freshman 4YR</c:v>
                </c:pt>
              </c:strCache>
            </c:strRef>
          </c:tx>
          <c:spPr>
            <a:ln w="22225"/>
          </c:spPr>
          <c:marker>
            <c:symbol val="square"/>
            <c:size val="6"/>
            <c:spPr>
              <a:ln w="3175">
                <a:solidFill>
                  <a:schemeClr val="tx1"/>
                </a:solidFill>
              </a:ln>
            </c:spPr>
          </c:marker>
          <c:cat>
            <c:strRef>
              <c:f>[0]!dl_retention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[0]!ds_graduation_Freshman4</c:f>
              <c:numCache>
                <c:formatCode>0%</c:formatCode>
                <c:ptCount val="8"/>
                <c:pt idx="0">
                  <c:v>0.30693069306930693</c:v>
                </c:pt>
                <c:pt idx="1">
                  <c:v>0.33021806853582553</c:v>
                </c:pt>
                <c:pt idx="2">
                  <c:v>0.38437500000000002</c:v>
                </c:pt>
                <c:pt idx="3">
                  <c:v>0.32631578947368423</c:v>
                </c:pt>
                <c:pt idx="4">
                  <c:v>0.41311475409836068</c:v>
                </c:pt>
                <c:pt idx="5">
                  <c:v>0.42176870748299322</c:v>
                </c:pt>
                <c:pt idx="6">
                  <c:v>0.43252595155709345</c:v>
                </c:pt>
                <c:pt idx="7">
                  <c:v>0.49066666666666664</c:v>
                </c:pt>
              </c:numCache>
            </c:numRef>
          </c:val>
        </c:ser>
        <c:ser>
          <c:idx val="2"/>
          <c:order val="2"/>
          <c:tx>
            <c:strRef>
              <c:f>'Graphic Data'!$B$76</c:f>
              <c:strCache>
                <c:ptCount val="1"/>
                <c:pt idx="0">
                  <c:v>MC Transfer 4YR</c:v>
                </c:pt>
              </c:strCache>
            </c:strRef>
          </c:tx>
          <c:marker>
            <c:spPr>
              <a:ln>
                <a:solidFill>
                  <a:sysClr val="windowText" lastClr="000000"/>
                </a:solidFill>
              </a:ln>
            </c:spPr>
          </c:marker>
          <c:val>
            <c:numRef>
              <c:f>[0]!ds_graduation_transfer4</c:f>
              <c:numCache>
                <c:formatCode>0%</c:formatCode>
                <c:ptCount val="8"/>
                <c:pt idx="0">
                  <c:v>0.5</c:v>
                </c:pt>
                <c:pt idx="1">
                  <c:v>0.5220588235294118</c:v>
                </c:pt>
                <c:pt idx="2">
                  <c:v>0.50427350427350426</c:v>
                </c:pt>
                <c:pt idx="3">
                  <c:v>0.51162790697674421</c:v>
                </c:pt>
                <c:pt idx="4">
                  <c:v>0.58333333333333337</c:v>
                </c:pt>
                <c:pt idx="5">
                  <c:v>0.53636363636363638</c:v>
                </c:pt>
                <c:pt idx="6">
                  <c:v>0.6</c:v>
                </c:pt>
                <c:pt idx="7">
                  <c:v>0.64375000000000004</c:v>
                </c:pt>
              </c:numCache>
            </c:numRef>
          </c:val>
        </c:ser>
        <c:ser>
          <c:idx val="3"/>
          <c:order val="3"/>
          <c:tx>
            <c:strRef>
              <c:f>'Graphic Data'!$B$77</c:f>
              <c:strCache>
                <c:ptCount val="1"/>
                <c:pt idx="0">
                  <c:v>MC Transfers 6YR</c:v>
                </c:pt>
              </c:strCache>
            </c:strRef>
          </c:tx>
          <c:marker>
            <c:spPr>
              <a:ln>
                <a:solidFill>
                  <a:sysClr val="windowText" lastClr="000000"/>
                </a:solidFill>
              </a:ln>
            </c:spPr>
          </c:marker>
          <c:val>
            <c:numRef>
              <c:f>[0]!ds_graduation_transfer6</c:f>
              <c:numCache>
                <c:formatCode>0%</c:formatCode>
                <c:ptCount val="8"/>
                <c:pt idx="0">
                  <c:v>0.49193548387096775</c:v>
                </c:pt>
                <c:pt idx="1">
                  <c:v>0.4485294117647059</c:v>
                </c:pt>
                <c:pt idx="2">
                  <c:v>0.55263157894736847</c:v>
                </c:pt>
                <c:pt idx="3">
                  <c:v>0.55147058823529416</c:v>
                </c:pt>
                <c:pt idx="4">
                  <c:v>0.5641025641025641</c:v>
                </c:pt>
                <c:pt idx="5">
                  <c:v>0.5968992248062015</c:v>
                </c:pt>
                <c:pt idx="6">
                  <c:v>0.62962962962962965</c:v>
                </c:pt>
                <c:pt idx="7">
                  <c:v>0.67272727272727273</c:v>
                </c:pt>
              </c:numCache>
            </c:numRef>
          </c:val>
        </c:ser>
        <c:marker val="1"/>
        <c:axId val="75498624"/>
        <c:axId val="75500160"/>
      </c:lineChart>
      <c:catAx>
        <c:axId val="75498624"/>
        <c:scaling>
          <c:orientation val="minMax"/>
        </c:scaling>
        <c:axPos val="b"/>
        <c:majorTickMark val="none"/>
        <c:tickLblPos val="nextTo"/>
        <c:crossAx val="75500160"/>
        <c:crosses val="autoZero"/>
        <c:auto val="1"/>
        <c:lblAlgn val="ctr"/>
        <c:lblOffset val="100"/>
      </c:catAx>
      <c:valAx>
        <c:axId val="75500160"/>
        <c:scaling>
          <c:orientation val="minMax"/>
          <c:max val="1"/>
          <c:min val="0.30000000000000032"/>
        </c:scaling>
        <c:axPos val="l"/>
        <c:majorGridlines/>
        <c:numFmt formatCode="0%" sourceLinked="1"/>
        <c:majorTickMark val="none"/>
        <c:tickLblPos val="nextTo"/>
        <c:crossAx val="75498624"/>
        <c:crosses val="autoZero"/>
        <c:crossBetween val="between"/>
        <c:majorUnit val="0.1"/>
      </c:valAx>
      <c:dTable>
        <c:showHorzBorder val="1"/>
        <c:showVertBorder val="1"/>
        <c:showOutline val="1"/>
        <c:showKeys val="1"/>
      </c:dTable>
      <c:spPr>
        <a:solidFill>
          <a:schemeClr val="bg1"/>
        </a:solidFill>
        <a:ln w="25400">
          <a:noFill/>
        </a:ln>
      </c:spPr>
    </c:plotArea>
    <c:plotVisOnly val="1"/>
    <c:dispBlanksAs val="gap"/>
  </c:chart>
  <c:spPr>
    <a:solidFill>
      <a:srgbClr val="9BBB59">
        <a:lumMod val="40000"/>
        <a:lumOff val="60000"/>
      </a:srgbClr>
    </a:solidFill>
    <a:ln>
      <a:noFill/>
    </a:ln>
  </c:spPr>
  <c:txPr>
    <a:bodyPr/>
    <a:lstStyle/>
    <a:p>
      <a:pPr>
        <a:defRPr sz="1100"/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Graph 9: Undergraduate GPA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'Graphic Data'!$B$80</c:f>
              <c:strCache>
                <c:ptCount val="1"/>
                <c:pt idx="0">
                  <c:v>Freshman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/>
          </c:spPr>
          <c:dLbls>
            <c:showVal val="1"/>
          </c:dLbls>
          <c:cat>
            <c:strRef>
              <c:f>[0]!dl_gpa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[0]!ds_gpa_fresh</c:f>
              <c:numCache>
                <c:formatCode>#,##0.00_);\(#,##0.00\)</c:formatCode>
                <c:ptCount val="8"/>
                <c:pt idx="0">
                  <c:v>3.31</c:v>
                </c:pt>
                <c:pt idx="1">
                  <c:v>3.22</c:v>
                </c:pt>
                <c:pt idx="2">
                  <c:v>3.24</c:v>
                </c:pt>
                <c:pt idx="3">
                  <c:v>3.29</c:v>
                </c:pt>
                <c:pt idx="4">
                  <c:v>3.18</c:v>
                </c:pt>
                <c:pt idx="5">
                  <c:v>3.1</c:v>
                </c:pt>
                <c:pt idx="6">
                  <c:v>3.12</c:v>
                </c:pt>
                <c:pt idx="7">
                  <c:v>3.19</c:v>
                </c:pt>
              </c:numCache>
            </c:numRef>
          </c:val>
        </c:ser>
        <c:axId val="75561600"/>
        <c:axId val="76227328"/>
      </c:barChart>
      <c:lineChart>
        <c:grouping val="standard"/>
        <c:ser>
          <c:idx val="1"/>
          <c:order val="1"/>
          <c:tx>
            <c:strRef>
              <c:f>'Graphic Data'!$B$81</c:f>
              <c:strCache>
                <c:ptCount val="1"/>
                <c:pt idx="0">
                  <c:v>Sophomore</c:v>
                </c:pt>
              </c:strCache>
            </c:strRef>
          </c:tx>
          <c:spPr>
            <a:ln w="22225"/>
          </c:spPr>
          <c:marker>
            <c:symbol val="square"/>
            <c:size val="6"/>
            <c:spPr>
              <a:ln>
                <a:solidFill>
                  <a:sysClr val="windowText" lastClr="000000"/>
                </a:solidFill>
              </a:ln>
            </c:spPr>
          </c:marker>
          <c:cat>
            <c:strRef>
              <c:f>[0]!dl_gpa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[0]!ds_gpa_soph</c:f>
              <c:numCache>
                <c:formatCode>#,##0.00_);\(#,##0.00\)</c:formatCode>
                <c:ptCount val="8"/>
                <c:pt idx="0">
                  <c:v>3.09</c:v>
                </c:pt>
                <c:pt idx="1">
                  <c:v>3.16</c:v>
                </c:pt>
                <c:pt idx="2">
                  <c:v>3.12</c:v>
                </c:pt>
                <c:pt idx="3">
                  <c:v>3.08</c:v>
                </c:pt>
                <c:pt idx="4">
                  <c:v>3.14</c:v>
                </c:pt>
                <c:pt idx="5">
                  <c:v>3.09</c:v>
                </c:pt>
                <c:pt idx="6">
                  <c:v>3.07</c:v>
                </c:pt>
                <c:pt idx="7">
                  <c:v>3.04</c:v>
                </c:pt>
              </c:numCache>
            </c:numRef>
          </c:val>
        </c:ser>
        <c:ser>
          <c:idx val="2"/>
          <c:order val="2"/>
          <c:tx>
            <c:strRef>
              <c:f>'Graphic Data'!$B$82</c:f>
              <c:strCache>
                <c:ptCount val="1"/>
                <c:pt idx="0">
                  <c:v>Junior</c:v>
                </c:pt>
              </c:strCache>
            </c:strRef>
          </c:tx>
          <c:spPr>
            <a:ln w="22225"/>
          </c:spPr>
          <c:marker>
            <c:symbol val="triangle"/>
            <c:size val="6"/>
            <c:spPr>
              <a:ln>
                <a:solidFill>
                  <a:sysClr val="windowText" lastClr="000000"/>
                </a:solidFill>
              </a:ln>
            </c:spPr>
          </c:marker>
          <c:cat>
            <c:strRef>
              <c:f>[0]!dl_gpa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[0]!ds_gpa_Jun</c:f>
              <c:numCache>
                <c:formatCode>General</c:formatCode>
                <c:ptCount val="8"/>
                <c:pt idx="0">
                  <c:v>3.13</c:v>
                </c:pt>
                <c:pt idx="1">
                  <c:v>3.11</c:v>
                </c:pt>
                <c:pt idx="2">
                  <c:v>3.13</c:v>
                </c:pt>
                <c:pt idx="3">
                  <c:v>3.1</c:v>
                </c:pt>
                <c:pt idx="4">
                  <c:v>3.12</c:v>
                </c:pt>
                <c:pt idx="5">
                  <c:v>3.12</c:v>
                </c:pt>
                <c:pt idx="6">
                  <c:v>3.1</c:v>
                </c:pt>
                <c:pt idx="7">
                  <c:v>3.11</c:v>
                </c:pt>
              </c:numCache>
            </c:numRef>
          </c:val>
        </c:ser>
        <c:ser>
          <c:idx val="3"/>
          <c:order val="3"/>
          <c:tx>
            <c:strRef>
              <c:f>'Graphic Data'!$B$83</c:f>
              <c:strCache>
                <c:ptCount val="1"/>
                <c:pt idx="0">
                  <c:v>Senior</c:v>
                </c:pt>
              </c:strCache>
            </c:strRef>
          </c:tx>
          <c:spPr>
            <a:ln w="22225"/>
          </c:spPr>
          <c:marker>
            <c:spPr>
              <a:ln>
                <a:solidFill>
                  <a:sysClr val="windowText" lastClr="000000"/>
                </a:solidFill>
              </a:ln>
            </c:spPr>
          </c:marker>
          <c:cat>
            <c:strRef>
              <c:f>[0]!dl_gpa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[0]!ds_gpa_sen</c:f>
              <c:numCache>
                <c:formatCode>#,##0.00_);\(#,##0.00\)</c:formatCode>
                <c:ptCount val="8"/>
                <c:pt idx="0">
                  <c:v>3.13</c:v>
                </c:pt>
                <c:pt idx="1">
                  <c:v>3.13</c:v>
                </c:pt>
                <c:pt idx="2">
                  <c:v>3.12</c:v>
                </c:pt>
                <c:pt idx="3">
                  <c:v>3.15</c:v>
                </c:pt>
                <c:pt idx="4">
                  <c:v>3.15</c:v>
                </c:pt>
                <c:pt idx="5">
                  <c:v>3.14</c:v>
                </c:pt>
                <c:pt idx="6">
                  <c:v>3.15</c:v>
                </c:pt>
                <c:pt idx="7">
                  <c:v>3.12</c:v>
                </c:pt>
              </c:numCache>
            </c:numRef>
          </c:val>
        </c:ser>
        <c:marker val="1"/>
        <c:axId val="75561600"/>
        <c:axId val="76227328"/>
      </c:lineChart>
      <c:catAx>
        <c:axId val="75561600"/>
        <c:scaling>
          <c:orientation val="minMax"/>
        </c:scaling>
        <c:axPos val="b"/>
        <c:numFmt formatCode="#,##0.00" sourceLinked="0"/>
        <c:majorTickMark val="none"/>
        <c:tickLblPos val="nextTo"/>
        <c:crossAx val="76227328"/>
        <c:crosses val="autoZero"/>
        <c:auto val="1"/>
        <c:lblAlgn val="ctr"/>
        <c:lblOffset val="100"/>
      </c:catAx>
      <c:valAx>
        <c:axId val="76227328"/>
        <c:scaling>
          <c:orientation val="minMax"/>
          <c:max val="3.4"/>
          <c:min val="3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GPA</a:t>
                </a:r>
              </a:p>
            </c:rich>
          </c:tx>
        </c:title>
        <c:numFmt formatCode="#,##0.00_);\(#,##0.00\)" sourceLinked="1"/>
        <c:majorTickMark val="none"/>
        <c:tickLblPos val="nextTo"/>
        <c:crossAx val="755616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spPr>
    <a:solidFill>
      <a:schemeClr val="accent3">
        <a:lumMod val="40000"/>
        <a:lumOff val="60000"/>
      </a:schemeClr>
    </a:solidFill>
    <a:ln>
      <a:noFill/>
    </a:ln>
  </c:spPr>
  <c:txPr>
    <a:bodyPr/>
    <a:lstStyle/>
    <a:p>
      <a:pPr>
        <a:defRPr sz="1100"/>
      </a:pPr>
      <a:endParaRPr lang="en-US"/>
    </a:p>
  </c:txPr>
  <c:printSettings>
    <c:headerFooter/>
    <c:pageMargins b="0.75000000000000233" l="0.70000000000000095" r="0.70000000000000095" t="0.75000000000000233" header="0.30000000000000016" footer="0.30000000000000016"/>
    <c:pageSetup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Graph 10: Student</a:t>
            </a:r>
            <a:r>
              <a:rPr lang="en-US" baseline="0"/>
              <a:t> Ethnicity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3"/>
          <c:order val="3"/>
          <c:tx>
            <c:strRef>
              <c:f>'Graphic Data'!$B$89</c:f>
              <c:strCache>
                <c:ptCount val="1"/>
                <c:pt idx="0">
                  <c:v>Caucasian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2225"/>
          </c:spPr>
          <c:dLbls>
            <c:showVal val="1"/>
          </c:dLbls>
          <c:cat>
            <c:strRef>
              <c:f>[0]!dl_gpa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[0]!ds_ethnicity_student_caucasian</c:f>
              <c:numCache>
                <c:formatCode>0.0%</c:formatCode>
                <c:ptCount val="8"/>
                <c:pt idx="0">
                  <c:v>0.4682603997839006</c:v>
                </c:pt>
                <c:pt idx="1">
                  <c:v>0.43675760344602532</c:v>
                </c:pt>
                <c:pt idx="2">
                  <c:v>0.41468202041350433</c:v>
                </c:pt>
                <c:pt idx="3">
                  <c:v>0.43398313286326556</c:v>
                </c:pt>
                <c:pt idx="4">
                  <c:v>0.39440540898846616</c:v>
                </c:pt>
                <c:pt idx="5">
                  <c:v>0.39979429914781073</c:v>
                </c:pt>
                <c:pt idx="6">
                  <c:v>0.38135721876423256</c:v>
                </c:pt>
                <c:pt idx="7">
                  <c:v>0.36665659921473875</c:v>
                </c:pt>
              </c:numCache>
            </c:numRef>
          </c:val>
        </c:ser>
        <c:axId val="76343552"/>
        <c:axId val="76349824"/>
      </c:barChart>
      <c:lineChart>
        <c:grouping val="standard"/>
        <c:ser>
          <c:idx val="0"/>
          <c:order val="0"/>
          <c:tx>
            <c:strRef>
              <c:f>'Graphic Data'!$B$86</c:f>
              <c:strCache>
                <c:ptCount val="1"/>
                <c:pt idx="0">
                  <c:v>Black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pPr>
              <a:ln>
                <a:solidFill>
                  <a:sysClr val="windowText" lastClr="000000"/>
                </a:solidFill>
              </a:ln>
            </c:spPr>
          </c:marker>
          <c:cat>
            <c:strRef>
              <c:f>[0]!dl_ethnicity_student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[0]!ds_ethnicity_student_black</c:f>
              <c:numCache>
                <c:formatCode>0.0%</c:formatCode>
                <c:ptCount val="8"/>
                <c:pt idx="0">
                  <c:v>0.10669908157752567</c:v>
                </c:pt>
                <c:pt idx="1">
                  <c:v>0.11069051037723535</c:v>
                </c:pt>
                <c:pt idx="2">
                  <c:v>0.10651661868620779</c:v>
                </c:pt>
                <c:pt idx="3">
                  <c:v>0.11530485275819162</c:v>
                </c:pt>
                <c:pt idx="4">
                  <c:v>0.10460029166114278</c:v>
                </c:pt>
                <c:pt idx="5">
                  <c:v>0.10872759330002939</c:v>
                </c:pt>
                <c:pt idx="6">
                  <c:v>9.9893730074388953E-2</c:v>
                </c:pt>
                <c:pt idx="7">
                  <c:v>9.9667774086378738E-2</c:v>
                </c:pt>
              </c:numCache>
            </c:numRef>
          </c:val>
        </c:ser>
        <c:ser>
          <c:idx val="1"/>
          <c:order val="1"/>
          <c:tx>
            <c:strRef>
              <c:f>'Graphic Data'!$B$87</c:f>
              <c:strCache>
                <c:ptCount val="1"/>
                <c:pt idx="0">
                  <c:v>Asian</c:v>
                </c:pt>
              </c:strCache>
            </c:strRef>
          </c:tx>
          <c:spPr>
            <a:ln w="22225"/>
          </c:spPr>
          <c:marker>
            <c:symbol val="square"/>
            <c:size val="4"/>
            <c:spPr>
              <a:ln>
                <a:solidFill>
                  <a:sysClr val="windowText" lastClr="000000"/>
                </a:solidFill>
              </a:ln>
            </c:spPr>
          </c:marker>
          <c:cat>
            <c:strRef>
              <c:f>[0]!dl_ethnicity_student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[0]!ds_ethnicity_student_asian</c:f>
              <c:numCache>
                <c:formatCode>0.0%</c:formatCode>
                <c:ptCount val="8"/>
                <c:pt idx="0">
                  <c:v>5.0783360345759046E-2</c:v>
                </c:pt>
                <c:pt idx="1">
                  <c:v>5.2343036157159642E-2</c:v>
                </c:pt>
                <c:pt idx="2">
                  <c:v>5.2734886155456684E-2</c:v>
                </c:pt>
                <c:pt idx="3">
                  <c:v>5.5578598092077977E-2</c:v>
                </c:pt>
                <c:pt idx="4">
                  <c:v>5.4222457907994168E-2</c:v>
                </c:pt>
                <c:pt idx="5">
                  <c:v>6.4061122538936227E-2</c:v>
                </c:pt>
                <c:pt idx="6">
                  <c:v>8.4560497950508573E-2</c:v>
                </c:pt>
                <c:pt idx="7">
                  <c:v>9.8912715191784961E-2</c:v>
                </c:pt>
              </c:numCache>
            </c:numRef>
          </c:val>
        </c:ser>
        <c:ser>
          <c:idx val="2"/>
          <c:order val="2"/>
          <c:tx>
            <c:strRef>
              <c:f>'Graphic Data'!$B$88</c:f>
              <c:strCache>
                <c:ptCount val="1"/>
                <c:pt idx="0">
                  <c:v>Hispanic</c:v>
                </c:pt>
              </c:strCache>
            </c:strRef>
          </c:tx>
          <c:spPr>
            <a:ln w="22225"/>
          </c:spPr>
          <c:marker>
            <c:spPr>
              <a:ln>
                <a:solidFill>
                  <a:sysClr val="windowText" lastClr="000000"/>
                </a:solidFill>
              </a:ln>
            </c:spPr>
          </c:marker>
          <c:dLbls>
            <c:showVal val="1"/>
          </c:dLbls>
          <c:cat>
            <c:strRef>
              <c:f>[0]!dl_ethnicity_student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[0]!ds_ethnicity_student_hispanic</c:f>
              <c:numCache>
                <c:formatCode>0.0%</c:formatCode>
                <c:ptCount val="8"/>
                <c:pt idx="0">
                  <c:v>0.23960021609940574</c:v>
                </c:pt>
                <c:pt idx="1">
                  <c:v>0.25310011747813599</c:v>
                </c:pt>
                <c:pt idx="2">
                  <c:v>0.26197330541742997</c:v>
                </c:pt>
                <c:pt idx="3">
                  <c:v>0.32047559795382274</c:v>
                </c:pt>
                <c:pt idx="4">
                  <c:v>0.31804321887843034</c:v>
                </c:pt>
                <c:pt idx="5">
                  <c:v>0.33646782250955037</c:v>
                </c:pt>
                <c:pt idx="6">
                  <c:v>0.35114619705480493</c:v>
                </c:pt>
                <c:pt idx="7">
                  <c:v>0.35699184536393841</c:v>
                </c:pt>
              </c:numCache>
            </c:numRef>
          </c:val>
        </c:ser>
        <c:ser>
          <c:idx val="4"/>
          <c:order val="4"/>
          <c:tx>
            <c:strRef>
              <c:f>'Graphic Data'!$B$90</c:f>
              <c:strCache>
                <c:ptCount val="1"/>
                <c:pt idx="0">
                  <c:v>Other/Unknown</c:v>
                </c:pt>
              </c:strCache>
            </c:strRef>
          </c:tx>
          <c:spPr>
            <a:ln>
              <a:solidFill>
                <a:srgbClr val="F79646">
                  <a:lumMod val="75000"/>
                </a:srgbClr>
              </a:solidFill>
            </a:ln>
          </c:spPr>
          <c:marker>
            <c:spPr>
              <a:noFill/>
              <a:ln>
                <a:solidFill>
                  <a:sysClr val="windowText" lastClr="000000"/>
                </a:solidFill>
              </a:ln>
            </c:spPr>
          </c:marker>
          <c:cat>
            <c:strRef>
              <c:f>[0]!dl_ethnicity_student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[0]!ds_ethnicity_student_other</c:f>
              <c:numCache>
                <c:formatCode>0.0%</c:formatCode>
                <c:ptCount val="8"/>
                <c:pt idx="0">
                  <c:v>0.13465694219340896</c:v>
                </c:pt>
                <c:pt idx="1">
                  <c:v>0.14710873254144374</c:v>
                </c:pt>
                <c:pt idx="2">
                  <c:v>0.16409316932740126</c:v>
                </c:pt>
                <c:pt idx="3">
                  <c:v>7.4657818332642067E-2</c:v>
                </c:pt>
                <c:pt idx="4">
                  <c:v>0.12872862256396655</c:v>
                </c:pt>
                <c:pt idx="5">
                  <c:v>9.0949162503673353E-2</c:v>
                </c:pt>
                <c:pt idx="6">
                  <c:v>8.3042356156065034E-2</c:v>
                </c:pt>
                <c:pt idx="7">
                  <c:v>7.7771066143159207E-2</c:v>
                </c:pt>
              </c:numCache>
            </c:numRef>
          </c:val>
        </c:ser>
        <c:marker val="1"/>
        <c:axId val="76343552"/>
        <c:axId val="76349824"/>
      </c:lineChart>
      <c:catAx>
        <c:axId val="76343552"/>
        <c:scaling>
          <c:orientation val="minMax"/>
        </c:scaling>
        <c:axPos val="b"/>
        <c:numFmt formatCode="#,##0.00" sourceLinked="0"/>
        <c:majorTickMark val="none"/>
        <c:tickLblPos val="nextTo"/>
        <c:crossAx val="76349824"/>
        <c:crosses val="autoZero"/>
        <c:auto val="1"/>
        <c:lblAlgn val="ctr"/>
        <c:lblOffset val="100"/>
      </c:catAx>
      <c:valAx>
        <c:axId val="76349824"/>
        <c:scaling>
          <c:orientation val="minMax"/>
        </c:scaling>
        <c:axPos val="l"/>
        <c:majorGridlines/>
        <c:numFmt formatCode="0.0%" sourceLinked="1"/>
        <c:majorTickMark val="none"/>
        <c:tickLblPos val="nextTo"/>
        <c:crossAx val="763435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spPr>
    <a:solidFill>
      <a:schemeClr val="accent3">
        <a:lumMod val="40000"/>
        <a:lumOff val="60000"/>
      </a:schemeClr>
    </a:solidFill>
    <a:ln>
      <a:noFill/>
    </a:ln>
  </c:spPr>
  <c:txPr>
    <a:bodyPr/>
    <a:lstStyle/>
    <a:p>
      <a:pPr>
        <a:defRPr sz="1100"/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baseline="0"/>
              <a:t>Graph 11: Ethnicity - Faculty &amp; Staff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0.19709968398821043"/>
          <c:y val="7.4743796824634043E-2"/>
          <c:w val="0.68562307779516063"/>
          <c:h val="0.58312644896294508"/>
        </c:manualLayout>
      </c:layout>
      <c:barChart>
        <c:barDir val="col"/>
        <c:grouping val="clustered"/>
        <c:ser>
          <c:idx val="3"/>
          <c:order val="3"/>
          <c:tx>
            <c:strRef>
              <c:f>'Graphic Data'!$B$96</c:f>
              <c:strCache>
                <c:ptCount val="1"/>
                <c:pt idx="0">
                  <c:v>Caucasian-Faculty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2225"/>
          </c:spPr>
          <c:dLbls>
            <c:dLbl>
              <c:idx val="7"/>
              <c:layout>
                <c:manualLayout>
                  <c:x val="0"/>
                  <c:y val="6.4941664360257487E-2"/>
                </c:manualLayout>
              </c:layout>
              <c:showVal val="1"/>
            </c:dLbl>
            <c:showVal val="1"/>
          </c:dLbls>
          <c:cat>
            <c:strRef>
              <c:f>[0]!dl_gpa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[0]!ds_ethnicity_faculty_white</c:f>
              <c:numCache>
                <c:formatCode>0.0%</c:formatCode>
                <c:ptCount val="8"/>
                <c:pt idx="0">
                  <c:v>0.84472049689440998</c:v>
                </c:pt>
                <c:pt idx="1">
                  <c:v>0.78698224852071008</c:v>
                </c:pt>
                <c:pt idx="2">
                  <c:v>0.82681564245810057</c:v>
                </c:pt>
                <c:pt idx="3">
                  <c:v>0.86740331491712708</c:v>
                </c:pt>
                <c:pt idx="4">
                  <c:v>0.82887700534759357</c:v>
                </c:pt>
                <c:pt idx="5">
                  <c:v>0.77835051546391754</c:v>
                </c:pt>
                <c:pt idx="6">
                  <c:v>0.73711340206185572</c:v>
                </c:pt>
                <c:pt idx="7">
                  <c:v>0.71649484536082475</c:v>
                </c:pt>
              </c:numCache>
            </c:numRef>
          </c:val>
        </c:ser>
        <c:ser>
          <c:idx val="7"/>
          <c:order val="7"/>
          <c:tx>
            <c:strRef>
              <c:f>'Graphic Data'!$B$100</c:f>
              <c:strCache>
                <c:ptCount val="1"/>
                <c:pt idx="0">
                  <c:v>Caucasian-Staff</c:v>
                </c:pt>
              </c:strCache>
            </c:strRef>
          </c:tx>
          <c:val>
            <c:numRef>
              <c:f>[0]!ds_ethnicity_staff_white</c:f>
              <c:numCache>
                <c:formatCode>0.0%</c:formatCode>
                <c:ptCount val="8"/>
                <c:pt idx="0">
                  <c:v>0.63172043010752688</c:v>
                </c:pt>
                <c:pt idx="1">
                  <c:v>0.61125319693094626</c:v>
                </c:pt>
                <c:pt idx="2">
                  <c:v>0.61097256857855364</c:v>
                </c:pt>
                <c:pt idx="3">
                  <c:v>0.60442260442260443</c:v>
                </c:pt>
                <c:pt idx="4">
                  <c:v>0.58104738154613467</c:v>
                </c:pt>
                <c:pt idx="5">
                  <c:v>0.58375634517766495</c:v>
                </c:pt>
                <c:pt idx="6">
                  <c:v>0.56499999999999995</c:v>
                </c:pt>
                <c:pt idx="7">
                  <c:v>0.55447941888619856</c:v>
                </c:pt>
              </c:numCache>
            </c:numRef>
          </c:val>
        </c:ser>
        <c:axId val="76438144"/>
        <c:axId val="76436224"/>
      </c:barChart>
      <c:lineChart>
        <c:grouping val="standard"/>
        <c:ser>
          <c:idx val="0"/>
          <c:order val="0"/>
          <c:tx>
            <c:strRef>
              <c:f>'Graphic Data'!$B$93</c:f>
              <c:strCache>
                <c:ptCount val="1"/>
                <c:pt idx="0">
                  <c:v>Black-Faculty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cat>
            <c:strRef>
              <c:f>[0]!dl_ethnicity_employee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[0]!ds_ethnicity_faculty_black</c:f>
              <c:numCache>
                <c:formatCode>0.0%</c:formatCode>
                <c:ptCount val="8"/>
                <c:pt idx="0">
                  <c:v>3.7267080745341616E-2</c:v>
                </c:pt>
                <c:pt idx="1">
                  <c:v>2.9585798816568046E-2</c:v>
                </c:pt>
                <c:pt idx="2">
                  <c:v>3.3519553072625698E-2</c:v>
                </c:pt>
                <c:pt idx="3">
                  <c:v>2.7624309392265192E-2</c:v>
                </c:pt>
                <c:pt idx="4">
                  <c:v>2.1390374331550801E-2</c:v>
                </c:pt>
                <c:pt idx="5">
                  <c:v>3.0927835051546393E-2</c:v>
                </c:pt>
                <c:pt idx="6">
                  <c:v>3.608247422680412E-2</c:v>
                </c:pt>
                <c:pt idx="7">
                  <c:v>3.0927835051546393E-2</c:v>
                </c:pt>
              </c:numCache>
            </c:numRef>
          </c:val>
        </c:ser>
        <c:ser>
          <c:idx val="1"/>
          <c:order val="1"/>
          <c:tx>
            <c:strRef>
              <c:f>'Graphic Data'!$B$94</c:f>
              <c:strCache>
                <c:ptCount val="1"/>
                <c:pt idx="0">
                  <c:v>Asian-Faculty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6"/>
            <c:spPr>
              <a:solidFill>
                <a:srgbClr val="C00000"/>
              </a:solidFill>
              <a:ln>
                <a:noFill/>
              </a:ln>
            </c:spPr>
          </c:marker>
          <c:cat>
            <c:strRef>
              <c:f>[0]!dl_ethnicity_employee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[0]!ds_ethnicity_faculty_asian</c:f>
              <c:numCache>
                <c:formatCode>0.0%</c:formatCode>
                <c:ptCount val="8"/>
                <c:pt idx="0">
                  <c:v>6.8322981366459631E-2</c:v>
                </c:pt>
                <c:pt idx="1">
                  <c:v>4.142011834319527E-2</c:v>
                </c:pt>
                <c:pt idx="2">
                  <c:v>6.1452513966480445E-2</c:v>
                </c:pt>
                <c:pt idx="3">
                  <c:v>6.6298342541436461E-2</c:v>
                </c:pt>
                <c:pt idx="4">
                  <c:v>8.0213903743315509E-2</c:v>
                </c:pt>
                <c:pt idx="5">
                  <c:v>8.7628865979381437E-2</c:v>
                </c:pt>
                <c:pt idx="6">
                  <c:v>7.7319587628865982E-2</c:v>
                </c:pt>
                <c:pt idx="7">
                  <c:v>8.247422680412371E-2</c:v>
                </c:pt>
              </c:numCache>
            </c:numRef>
          </c:val>
        </c:ser>
        <c:ser>
          <c:idx val="2"/>
          <c:order val="2"/>
          <c:tx>
            <c:strRef>
              <c:f>'Graphic Data'!$B$95</c:f>
              <c:strCache>
                <c:ptCount val="1"/>
                <c:pt idx="0">
                  <c:v>Hispanic Faculty</c:v>
                </c:pt>
              </c:strCache>
            </c:strRef>
          </c:tx>
          <c:spPr>
            <a:ln w="22225">
              <a:solidFill>
                <a:srgbClr val="009900"/>
              </a:solidFill>
            </a:ln>
          </c:spPr>
          <c:marker>
            <c:symbol val="triangle"/>
            <c:size val="7"/>
            <c:spPr>
              <a:ln>
                <a:solidFill>
                  <a:schemeClr val="tx1"/>
                </a:solidFill>
              </a:ln>
            </c:spPr>
          </c:marker>
          <c:trendline>
            <c:trendlineType val="linear"/>
          </c:trendline>
          <c:cat>
            <c:strRef>
              <c:f>[0]!dl_ethnicity_employee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[0]!ds_ethnicity_faculty_hispanic</c:f>
              <c:numCache>
                <c:formatCode>0.0%</c:formatCode>
                <c:ptCount val="8"/>
                <c:pt idx="0">
                  <c:v>4.3478260869565216E-2</c:v>
                </c:pt>
                <c:pt idx="1">
                  <c:v>5.9171597633136092E-2</c:v>
                </c:pt>
                <c:pt idx="2">
                  <c:v>7.2625698324022353E-2</c:v>
                </c:pt>
                <c:pt idx="3">
                  <c:v>3.8674033149171269E-2</c:v>
                </c:pt>
                <c:pt idx="4">
                  <c:v>3.7433155080213901E-2</c:v>
                </c:pt>
                <c:pt idx="5">
                  <c:v>4.6391752577319589E-2</c:v>
                </c:pt>
                <c:pt idx="6">
                  <c:v>7.2164948453608241E-2</c:v>
                </c:pt>
                <c:pt idx="7">
                  <c:v>7.7319587628865982E-2</c:v>
                </c:pt>
              </c:numCache>
            </c:numRef>
          </c:val>
        </c:ser>
        <c:ser>
          <c:idx val="4"/>
          <c:order val="4"/>
          <c:tx>
            <c:strRef>
              <c:f>'Graphic Data'!$B$97</c:f>
              <c:strCache>
                <c:ptCount val="1"/>
                <c:pt idx="0">
                  <c:v>Black-Staff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pPr>
              <a:noFill/>
              <a:ln>
                <a:solidFill>
                  <a:schemeClr val="tx1"/>
                </a:solidFill>
              </a:ln>
            </c:spPr>
          </c:marker>
          <c:cat>
            <c:strRef>
              <c:f>[0]!dl_ethnicity_employee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[0]!ds_ethnicity_staff_black</c:f>
              <c:numCache>
                <c:formatCode>0.0%</c:formatCode>
                <c:ptCount val="8"/>
                <c:pt idx="0">
                  <c:v>8.3333333333333329E-2</c:v>
                </c:pt>
                <c:pt idx="1">
                  <c:v>8.9514066496163683E-2</c:v>
                </c:pt>
                <c:pt idx="2">
                  <c:v>8.4788029925187039E-2</c:v>
                </c:pt>
                <c:pt idx="3">
                  <c:v>9.5823095823095825E-2</c:v>
                </c:pt>
                <c:pt idx="4">
                  <c:v>8.7281795511221949E-2</c:v>
                </c:pt>
                <c:pt idx="5">
                  <c:v>8.1218274111675121E-2</c:v>
                </c:pt>
                <c:pt idx="6">
                  <c:v>8.2500000000000004E-2</c:v>
                </c:pt>
                <c:pt idx="7">
                  <c:v>8.9588377723970949E-2</c:v>
                </c:pt>
              </c:numCache>
            </c:numRef>
          </c:val>
        </c:ser>
        <c:ser>
          <c:idx val="5"/>
          <c:order val="5"/>
          <c:tx>
            <c:strRef>
              <c:f>'Graphic Data'!$B$98</c:f>
              <c:strCache>
                <c:ptCount val="1"/>
                <c:pt idx="0">
                  <c:v>Asian-Staff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7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[0]!ds_ethnicity_staff_asian</c:f>
              <c:numCache>
                <c:formatCode>0.0%</c:formatCode>
                <c:ptCount val="8"/>
                <c:pt idx="0">
                  <c:v>7.5268817204301078E-2</c:v>
                </c:pt>
                <c:pt idx="1">
                  <c:v>7.1611253196930943E-2</c:v>
                </c:pt>
                <c:pt idx="2">
                  <c:v>7.4812967581047385E-2</c:v>
                </c:pt>
                <c:pt idx="3">
                  <c:v>8.1081081081081086E-2</c:v>
                </c:pt>
                <c:pt idx="4">
                  <c:v>8.2294264339152115E-2</c:v>
                </c:pt>
                <c:pt idx="5">
                  <c:v>8.8832487309644673E-2</c:v>
                </c:pt>
                <c:pt idx="6">
                  <c:v>0.09</c:v>
                </c:pt>
                <c:pt idx="7">
                  <c:v>8.4745762711864403E-2</c:v>
                </c:pt>
              </c:numCache>
            </c:numRef>
          </c:val>
        </c:ser>
        <c:ser>
          <c:idx val="6"/>
          <c:order val="6"/>
          <c:tx>
            <c:strRef>
              <c:f>'Graphic Data'!$B$99</c:f>
              <c:strCache>
                <c:ptCount val="1"/>
                <c:pt idx="0">
                  <c:v>Hispanic-Staff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</c:marker>
          <c:val>
            <c:numRef>
              <c:f>[0]!ds_ethnicity_staff_hispanic</c:f>
              <c:numCache>
                <c:formatCode>0.0%</c:formatCode>
                <c:ptCount val="8"/>
                <c:pt idx="0">
                  <c:v>0.20430107526881722</c:v>
                </c:pt>
                <c:pt idx="1">
                  <c:v>0.20460358056265984</c:v>
                </c:pt>
                <c:pt idx="2">
                  <c:v>0.21197007481296759</c:v>
                </c:pt>
                <c:pt idx="3">
                  <c:v>0.20393120393120392</c:v>
                </c:pt>
                <c:pt idx="4">
                  <c:v>0.21446384039900249</c:v>
                </c:pt>
                <c:pt idx="5">
                  <c:v>0.21065989847715735</c:v>
                </c:pt>
                <c:pt idx="6">
                  <c:v>0.21249999999999999</c:v>
                </c:pt>
                <c:pt idx="7">
                  <c:v>0.21791767554479419</c:v>
                </c:pt>
              </c:numCache>
            </c:numRef>
          </c:val>
        </c:ser>
        <c:marker val="1"/>
        <c:axId val="76428032"/>
        <c:axId val="76429952"/>
      </c:lineChart>
      <c:catAx>
        <c:axId val="76428032"/>
        <c:scaling>
          <c:orientation val="minMax"/>
        </c:scaling>
        <c:axPos val="b"/>
        <c:numFmt formatCode="#,##0.00" sourceLinked="0"/>
        <c:majorTickMark val="none"/>
        <c:tickLblPos val="nextTo"/>
        <c:crossAx val="76429952"/>
        <c:crosses val="autoZero"/>
        <c:auto val="1"/>
        <c:lblAlgn val="ctr"/>
        <c:lblOffset val="100"/>
      </c:catAx>
      <c:valAx>
        <c:axId val="76429952"/>
        <c:scaling>
          <c:orientation val="minMax"/>
          <c:max val="0.3000000000000003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Non-White Race/Ethnicity</a:t>
                </a:r>
                <a:r>
                  <a:rPr lang="en-US" baseline="0"/>
                  <a:t> (% of Total)</a:t>
                </a:r>
                <a:endParaRPr lang="en-US"/>
              </a:p>
            </c:rich>
          </c:tx>
        </c:title>
        <c:numFmt formatCode="0%" sourceLinked="0"/>
        <c:majorTickMark val="none"/>
        <c:tickLblPos val="nextTo"/>
        <c:crossAx val="76428032"/>
        <c:crosses val="autoZero"/>
        <c:crossBetween val="between"/>
      </c:valAx>
      <c:valAx>
        <c:axId val="76436224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White, Non-Hispanic/Caucasian</a:t>
                </a:r>
                <a:r>
                  <a:rPr lang="en-US" baseline="0"/>
                  <a:t> (% of Total)</a:t>
                </a:r>
                <a:endParaRPr lang="en-US"/>
              </a:p>
            </c:rich>
          </c:tx>
        </c:title>
        <c:numFmt formatCode="0%" sourceLinked="0"/>
        <c:tickLblPos val="nextTo"/>
        <c:crossAx val="76438144"/>
        <c:crosses val="max"/>
        <c:crossBetween val="between"/>
      </c:valAx>
      <c:catAx>
        <c:axId val="76438144"/>
        <c:scaling>
          <c:orientation val="minMax"/>
        </c:scaling>
        <c:delete val="1"/>
        <c:axPos val="b"/>
        <c:tickLblPos val="none"/>
        <c:crossAx val="76436224"/>
        <c:crosses val="autoZero"/>
        <c:auto val="1"/>
        <c:lblAlgn val="ctr"/>
        <c:lblOffset val="100"/>
      </c:catAx>
      <c:dTable>
        <c:showHorzBorder val="1"/>
        <c:showVertBorder val="1"/>
        <c:showOutline val="1"/>
        <c:showKeys val="1"/>
      </c:dTable>
    </c:plotArea>
    <c:plotVisOnly val="1"/>
    <c:dispBlanksAs val="gap"/>
  </c:chart>
  <c:spPr>
    <a:solidFill>
      <a:schemeClr val="accent3">
        <a:lumMod val="40000"/>
        <a:lumOff val="60000"/>
      </a:schemeClr>
    </a:solidFill>
    <a:ln>
      <a:noFill/>
    </a:ln>
  </c:spPr>
  <c:txPr>
    <a:bodyPr/>
    <a:lstStyle/>
    <a:p>
      <a:pPr>
        <a:defRPr sz="1100"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Graph 12: Gender (Female % of Total) -</a:t>
            </a:r>
            <a:r>
              <a:rPr lang="en-US" sz="1320" b="1" i="0" u="none" strike="noStrike" baseline="0"/>
              <a:t> Student, Faculty, and Staff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'Graphic Data'!$B$103</c:f>
              <c:strCache>
                <c:ptCount val="1"/>
                <c:pt idx="0">
                  <c:v>Student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/>
          </c:spPr>
          <c:dLbls>
            <c:dLbl>
              <c:idx val="0"/>
              <c:layout>
                <c:manualLayout>
                  <c:x val="-1.5891936831678359E-3"/>
                  <c:y val="5.8853383326483412E-2"/>
                </c:manualLayout>
              </c:layout>
              <c:showVal val="1"/>
            </c:dLbl>
            <c:dLbl>
              <c:idx val="1"/>
              <c:layout>
                <c:manualLayout>
                  <c:x val="1.5891936831678359E-3"/>
                  <c:y val="3.4500259191386787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4.8706248270193118E-2"/>
                </c:manualLayout>
              </c:layout>
              <c:showVal val="1"/>
            </c:dLbl>
            <c:dLbl>
              <c:idx val="3"/>
              <c:layout>
                <c:manualLayout>
                  <c:x val="-1.5891936831678359E-3"/>
                  <c:y val="6.6971091371515537E-2"/>
                </c:manualLayout>
              </c:layout>
              <c:showVal val="1"/>
            </c:dLbl>
            <c:dLbl>
              <c:idx val="4"/>
              <c:layout>
                <c:manualLayout>
                  <c:x val="-7.945968415839201E-3"/>
                  <c:y val="9.3353642517870372E-2"/>
                </c:manualLayout>
              </c:layout>
              <c:showVal val="1"/>
            </c:dLbl>
            <c:dLbl>
              <c:idx val="5"/>
              <c:layout>
                <c:manualLayout>
                  <c:x val="3.1783873663356801E-3"/>
                  <c:y val="8.7265361484096221E-2"/>
                </c:manualLayout>
              </c:layout>
              <c:showVal val="1"/>
            </c:dLbl>
            <c:dLbl>
              <c:idx val="6"/>
              <c:layout>
                <c:manualLayout>
                  <c:x val="0"/>
                  <c:y val="9.1324215506612266E-2"/>
                </c:manualLayout>
              </c:layout>
              <c:showVal val="1"/>
            </c:dLbl>
            <c:dLbl>
              <c:idx val="7"/>
              <c:layout>
                <c:manualLayout>
                  <c:x val="-3.1783873663356801E-3"/>
                  <c:y val="6.9000518382773587E-2"/>
                </c:manualLayout>
              </c:layout>
              <c:showVal val="1"/>
            </c:dLbl>
            <c:showVal val="1"/>
          </c:dLbls>
          <c:cat>
            <c:strRef>
              <c:f>[0]!dl_gender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[0]!ds_gender_student</c:f>
              <c:numCache>
                <c:formatCode>0.0%</c:formatCode>
                <c:ptCount val="8"/>
                <c:pt idx="0">
                  <c:v>0.61196054254007404</c:v>
                </c:pt>
                <c:pt idx="1">
                  <c:v>0.50189270330244096</c:v>
                </c:pt>
                <c:pt idx="2">
                  <c:v>0.63523410933821611</c:v>
                </c:pt>
                <c:pt idx="3">
                  <c:v>0.65117117117117118</c:v>
                </c:pt>
                <c:pt idx="4">
                  <c:v>0.65917827967323406</c:v>
                </c:pt>
                <c:pt idx="5">
                  <c:v>0.65917827967323406</c:v>
                </c:pt>
                <c:pt idx="6">
                  <c:v>0.66498559077809793</c:v>
                </c:pt>
                <c:pt idx="7">
                  <c:v>0.64077025232403717</c:v>
                </c:pt>
              </c:numCache>
            </c:numRef>
          </c:val>
        </c:ser>
        <c:axId val="76527488"/>
        <c:axId val="76546048"/>
      </c:barChart>
      <c:lineChart>
        <c:grouping val="standard"/>
        <c:ser>
          <c:idx val="1"/>
          <c:order val="1"/>
          <c:tx>
            <c:strRef>
              <c:f>'Graphic Data'!$B$104</c:f>
              <c:strCache>
                <c:ptCount val="1"/>
                <c:pt idx="0">
                  <c:v>Faculty</c:v>
                </c:pt>
              </c:strCache>
            </c:strRef>
          </c:tx>
          <c:spPr>
            <a:ln w="22225"/>
          </c:spPr>
          <c:marker>
            <c:symbol val="square"/>
            <c:size val="4"/>
            <c:spPr>
              <a:ln>
                <a:solidFill>
                  <a:sysClr val="windowText" lastClr="000000"/>
                </a:solidFill>
              </a:ln>
            </c:spPr>
          </c:marker>
          <c:cat>
            <c:strRef>
              <c:f>[0]!dl_gpa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[0]!ds_gender_faculty</c:f>
              <c:numCache>
                <c:formatCode>0.0%</c:formatCode>
                <c:ptCount val="8"/>
                <c:pt idx="0">
                  <c:v>0.42</c:v>
                </c:pt>
                <c:pt idx="1">
                  <c:v>0.44</c:v>
                </c:pt>
                <c:pt idx="2">
                  <c:v>0.44</c:v>
                </c:pt>
                <c:pt idx="3">
                  <c:v>0.43</c:v>
                </c:pt>
                <c:pt idx="4">
                  <c:v>0.48</c:v>
                </c:pt>
                <c:pt idx="5">
                  <c:v>0.47</c:v>
                </c:pt>
                <c:pt idx="6">
                  <c:v>0.47399999999999998</c:v>
                </c:pt>
                <c:pt idx="7">
                  <c:v>0.48499999999999999</c:v>
                </c:pt>
              </c:numCache>
            </c:numRef>
          </c:val>
        </c:ser>
        <c:ser>
          <c:idx val="2"/>
          <c:order val="2"/>
          <c:tx>
            <c:strRef>
              <c:f>'Graphic Data'!$B$105</c:f>
              <c:strCache>
                <c:ptCount val="1"/>
                <c:pt idx="0">
                  <c:v>Staff</c:v>
                </c:pt>
              </c:strCache>
            </c:strRef>
          </c:tx>
          <c:spPr>
            <a:ln w="22225"/>
          </c:spPr>
          <c:marker>
            <c:spPr>
              <a:ln>
                <a:solidFill>
                  <a:sysClr val="windowText" lastClr="000000"/>
                </a:solidFill>
              </a:ln>
            </c:spPr>
          </c:marker>
          <c:cat>
            <c:strRef>
              <c:f>[0]!dl_gpa</c:f>
              <c:strCache>
                <c:ptCount val="8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</c:strCache>
            </c:strRef>
          </c:cat>
          <c:val>
            <c:numRef>
              <c:f>[0]!ds_gender_staff</c:f>
              <c:numCache>
                <c:formatCode>0.0%</c:formatCode>
                <c:ptCount val="8"/>
                <c:pt idx="0">
                  <c:v>0.67741935483870963</c:v>
                </c:pt>
                <c:pt idx="1">
                  <c:v>0.6675191815856778</c:v>
                </c:pt>
                <c:pt idx="2">
                  <c:v>0.67331670822942646</c:v>
                </c:pt>
                <c:pt idx="3">
                  <c:v>0.66584766584766586</c:v>
                </c:pt>
                <c:pt idx="4">
                  <c:v>0.64837905236907734</c:v>
                </c:pt>
                <c:pt idx="5">
                  <c:v>0.63197969543147203</c:v>
                </c:pt>
                <c:pt idx="6">
                  <c:v>0.64</c:v>
                </c:pt>
                <c:pt idx="7">
                  <c:v>0.64400000000000002</c:v>
                </c:pt>
              </c:numCache>
            </c:numRef>
          </c:val>
        </c:ser>
        <c:marker val="1"/>
        <c:axId val="76527488"/>
        <c:axId val="76546048"/>
      </c:lineChart>
      <c:catAx>
        <c:axId val="76527488"/>
        <c:scaling>
          <c:orientation val="minMax"/>
        </c:scaling>
        <c:axPos val="b"/>
        <c:numFmt formatCode="#,##0.00" sourceLinked="0"/>
        <c:majorTickMark val="none"/>
        <c:tickLblPos val="nextTo"/>
        <c:crossAx val="76546048"/>
        <c:crosses val="autoZero"/>
        <c:auto val="1"/>
        <c:lblAlgn val="ctr"/>
        <c:lblOffset val="100"/>
      </c:catAx>
      <c:valAx>
        <c:axId val="76546048"/>
        <c:scaling>
          <c:orientation val="minMax"/>
        </c:scaling>
        <c:axPos val="l"/>
        <c:majorGridlines/>
        <c:numFmt formatCode="0.0%" sourceLinked="1"/>
        <c:majorTickMark val="none"/>
        <c:tickLblPos val="nextTo"/>
        <c:crossAx val="765274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spPr>
    <a:solidFill>
      <a:schemeClr val="accent3">
        <a:lumMod val="40000"/>
        <a:lumOff val="60000"/>
      </a:schemeClr>
    </a:solidFill>
    <a:ln>
      <a:noFill/>
    </a:ln>
  </c:spPr>
  <c:txPr>
    <a:bodyPr/>
    <a:lstStyle/>
    <a:p>
      <a:pPr>
        <a:defRPr sz="1100"/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strLit>
              <c:ptCount val="5"/>
              <c:pt idx="0">
                <c:v>03</c:v>
              </c:pt>
              <c:pt idx="1">
                <c:v>I</c:v>
              </c:pt>
              <c:pt idx="2">
                <c:v>II</c:v>
              </c:pt>
              <c:pt idx="3">
                <c:v>III</c:v>
              </c:pt>
              <c:pt idx="4">
                <c:v>04</c:v>
              </c:pt>
            </c:strLit>
          </c:cat>
          <c:val>
            <c:numLit>
              <c:formatCode>General</c:formatCode>
              <c:ptCount val="5"/>
              <c:pt idx="0">
                <c:v>2.5267791636096777</c:v>
              </c:pt>
              <c:pt idx="1">
                <c:v>0.63157894736842279</c:v>
              </c:pt>
              <c:pt idx="2">
                <c:v>1.0578457446808511</c:v>
              </c:pt>
              <c:pt idx="3">
                <c:v>1.5753508236729721</c:v>
              </c:pt>
              <c:pt idx="4">
                <c:v>2.9121561668145457</c:v>
              </c:pt>
            </c:numLit>
          </c:val>
        </c:ser>
        <c:marker val="1"/>
        <c:axId val="73942912"/>
        <c:axId val="73945088"/>
      </c:lineChart>
      <c:catAx>
        <c:axId val="73942912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945088"/>
        <c:crosses val="autoZero"/>
        <c:lblAlgn val="ctr"/>
        <c:lblOffset val="100"/>
        <c:tickLblSkip val="2"/>
        <c:tickMarkSkip val="1"/>
      </c:catAx>
      <c:valAx>
        <c:axId val="739450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942912"/>
        <c:crosses val="autoZero"/>
        <c:crossBetween val="between"/>
      </c:valAx>
      <c:spPr>
        <a:solidFill>
          <a:srgbClr val="FFFFFF"/>
        </a:solidFill>
        <a:ln w="12700">
          <a:solidFill>
            <a:srgbClr val="7D674B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strLit>
              <c:ptCount val="5"/>
              <c:pt idx="0">
                <c:v>03</c:v>
              </c:pt>
              <c:pt idx="1">
                <c:v>I</c:v>
              </c:pt>
              <c:pt idx="2">
                <c:v>II</c:v>
              </c:pt>
              <c:pt idx="3">
                <c:v>III</c:v>
              </c:pt>
              <c:pt idx="4">
                <c:v>04</c:v>
              </c:pt>
            </c:strLit>
          </c:cat>
          <c:val>
            <c:numLit>
              <c:formatCode>General</c:formatCode>
              <c:ptCount val="5"/>
              <c:pt idx="0">
                <c:v>#N/A</c:v>
              </c:pt>
              <c:pt idx="1">
                <c:v>0.10736810302503871</c:v>
              </c:pt>
              <c:pt idx="2">
                <c:v>9.7879398598155865E-2</c:v>
              </c:pt>
              <c:pt idx="3">
                <c:v>9.224568757053038E-2</c:v>
              </c:pt>
              <c:pt idx="4">
                <c:v>9.3278696886742743E-2</c:v>
              </c:pt>
            </c:numLit>
          </c:val>
        </c:ser>
        <c:marker val="1"/>
        <c:axId val="73963776"/>
        <c:axId val="73970048"/>
      </c:lineChart>
      <c:catAx>
        <c:axId val="73963776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970048"/>
        <c:crosses val="autoZero"/>
        <c:lblAlgn val="ctr"/>
        <c:lblOffset val="100"/>
        <c:tickLblSkip val="2"/>
        <c:tickMarkSkip val="1"/>
      </c:catAx>
      <c:valAx>
        <c:axId val="739700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963776"/>
        <c:crosses val="autoZero"/>
        <c:crossBetween val="between"/>
      </c:valAx>
      <c:spPr>
        <a:solidFill>
          <a:srgbClr val="FFFFFF"/>
        </a:solidFill>
        <a:ln w="12700">
          <a:solidFill>
            <a:srgbClr val="7D674B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strLit>
              <c:ptCount val="5"/>
              <c:pt idx="0">
                <c:v>03</c:v>
              </c:pt>
              <c:pt idx="1">
                <c:v>I</c:v>
              </c:pt>
              <c:pt idx="2">
                <c:v>II</c:v>
              </c:pt>
              <c:pt idx="3">
                <c:v>III</c:v>
              </c:pt>
              <c:pt idx="4">
                <c:v>04</c:v>
              </c:pt>
            </c:strLit>
          </c:cat>
          <c:val>
            <c:numLit>
              <c:formatCode>General</c:formatCode>
              <c:ptCount val="5"/>
              <c:pt idx="0">
                <c:v>#N/A</c:v>
              </c:pt>
              <c:pt idx="1">
                <c:v>0.38227780018824914</c:v>
              </c:pt>
              <c:pt idx="2">
                <c:v>0.34507042253521131</c:v>
              </c:pt>
              <c:pt idx="3">
                <c:v>0.31795954656590358</c:v>
              </c:pt>
              <c:pt idx="4">
                <c:v>0.30870519385515732</c:v>
              </c:pt>
            </c:numLit>
          </c:val>
        </c:ser>
        <c:marker val="1"/>
        <c:axId val="74328704"/>
        <c:axId val="74330880"/>
      </c:lineChart>
      <c:catAx>
        <c:axId val="74328704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4330880"/>
        <c:crosses val="autoZero"/>
        <c:lblAlgn val="ctr"/>
        <c:lblOffset val="100"/>
        <c:tickLblSkip val="2"/>
        <c:tickMarkSkip val="1"/>
      </c:catAx>
      <c:valAx>
        <c:axId val="743308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4328704"/>
        <c:crosses val="autoZero"/>
        <c:crossBetween val="between"/>
      </c:valAx>
      <c:spPr>
        <a:solidFill>
          <a:srgbClr val="FFFFFF"/>
        </a:solidFill>
        <a:ln w="12700">
          <a:solidFill>
            <a:srgbClr val="7D674B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strLit>
              <c:ptCount val="5"/>
              <c:pt idx="0">
                <c:v>03</c:v>
              </c:pt>
              <c:pt idx="1">
                <c:v>I</c:v>
              </c:pt>
              <c:pt idx="2">
                <c:v>II</c:v>
              </c:pt>
              <c:pt idx="3">
                <c:v>III</c:v>
              </c:pt>
              <c:pt idx="4">
                <c:v>04</c:v>
              </c:pt>
            </c:strLit>
          </c:cat>
          <c:val>
            <c:numLit>
              <c:formatCode>General</c:formatCode>
              <c:ptCount val="5"/>
              <c:pt idx="0">
                <c:v>#N/A</c:v>
              </c:pt>
              <c:pt idx="1">
                <c:v>0.14083918954303917</c:v>
              </c:pt>
              <c:pt idx="2">
                <c:v>-1.996085555888534E-2</c:v>
              </c:pt>
              <c:pt idx="3">
                <c:v>-0.18293828701137807</c:v>
              </c:pt>
              <c:pt idx="4">
                <c:v>-0.59029254015781885</c:v>
              </c:pt>
            </c:numLit>
          </c:val>
        </c:ser>
        <c:marker val="1"/>
        <c:axId val="74337280"/>
        <c:axId val="74364032"/>
      </c:lineChart>
      <c:catAx>
        <c:axId val="74337280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4364032"/>
        <c:crosses val="autoZero"/>
        <c:lblAlgn val="ctr"/>
        <c:lblOffset val="100"/>
        <c:tickLblSkip val="2"/>
        <c:tickMarkSkip val="1"/>
      </c:catAx>
      <c:valAx>
        <c:axId val="74364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4337280"/>
        <c:crosses val="autoZero"/>
        <c:crossBetween val="between"/>
      </c:valAx>
      <c:spPr>
        <a:solidFill>
          <a:srgbClr val="FFFFFF"/>
        </a:solidFill>
        <a:ln w="12700">
          <a:solidFill>
            <a:srgbClr val="7D674B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#REF!$D$3:$H$3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#REF!$D$5:$H$5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74472448"/>
        <c:axId val="74474624"/>
      </c:lineChart>
      <c:catAx>
        <c:axId val="74472448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4474624"/>
        <c:crosses val="autoZero"/>
        <c:lblAlgn val="ctr"/>
        <c:lblOffset val="100"/>
        <c:tickLblSkip val="1"/>
        <c:tickMarkSkip val="1"/>
      </c:catAx>
      <c:valAx>
        <c:axId val="744746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4472448"/>
        <c:crosses val="autoZero"/>
        <c:crossBetween val="between"/>
      </c:valAx>
      <c:spPr>
        <a:solidFill>
          <a:srgbClr val="FFFFFF"/>
        </a:solidFill>
        <a:ln w="12700">
          <a:solidFill>
            <a:srgbClr val="7D674B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#REF!$D$3:$H$3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#REF!$D$6:$H$6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74485120"/>
        <c:axId val="74499584"/>
      </c:lineChart>
      <c:catAx>
        <c:axId val="74485120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4499584"/>
        <c:crosses val="autoZero"/>
        <c:lblAlgn val="ctr"/>
        <c:lblOffset val="100"/>
        <c:tickLblSkip val="1"/>
        <c:tickMarkSkip val="1"/>
      </c:catAx>
      <c:valAx>
        <c:axId val="744995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4485120"/>
        <c:crosses val="autoZero"/>
        <c:crossBetween val="between"/>
      </c:valAx>
      <c:spPr>
        <a:solidFill>
          <a:srgbClr val="FFFFFF"/>
        </a:solidFill>
        <a:ln w="12700">
          <a:solidFill>
            <a:srgbClr val="7D674B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hyperlink" Target="#Graphic8!A1"/><Relationship Id="rId18" Type="http://schemas.openxmlformats.org/officeDocument/2006/relationships/chart" Target="../charts/chart14.xml"/><Relationship Id="rId26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hyperlink" Target="#Graphic5!A1"/><Relationship Id="rId34" Type="http://schemas.openxmlformats.org/officeDocument/2006/relationships/chart" Target="../charts/chart22.xml"/><Relationship Id="rId7" Type="http://schemas.openxmlformats.org/officeDocument/2006/relationships/chart" Target="../charts/chart7.xml"/><Relationship Id="rId12" Type="http://schemas.openxmlformats.org/officeDocument/2006/relationships/chart" Target="../charts/chart11.xml"/><Relationship Id="rId17" Type="http://schemas.openxmlformats.org/officeDocument/2006/relationships/hyperlink" Target="#Graphic1!A1"/><Relationship Id="rId25" Type="http://schemas.openxmlformats.org/officeDocument/2006/relationships/hyperlink" Target="#Graphic10!A1"/><Relationship Id="rId33" Type="http://schemas.openxmlformats.org/officeDocument/2006/relationships/hyperlink" Target="#Graphic3!A1"/><Relationship Id="rId2" Type="http://schemas.openxmlformats.org/officeDocument/2006/relationships/chart" Target="../charts/chart2.xml"/><Relationship Id="rId16" Type="http://schemas.openxmlformats.org/officeDocument/2006/relationships/chart" Target="../charts/chart13.xml"/><Relationship Id="rId20" Type="http://schemas.openxmlformats.org/officeDocument/2006/relationships/chart" Target="../charts/chart15.xml"/><Relationship Id="rId29" Type="http://schemas.openxmlformats.org/officeDocument/2006/relationships/hyperlink" Target="#Graphic12!A1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hyperlink" Target="#Graphic7!A1"/><Relationship Id="rId24" Type="http://schemas.openxmlformats.org/officeDocument/2006/relationships/chart" Target="../charts/chart17.xml"/><Relationship Id="rId32" Type="http://schemas.openxmlformats.org/officeDocument/2006/relationships/chart" Target="../charts/chart21.xml"/><Relationship Id="rId5" Type="http://schemas.openxmlformats.org/officeDocument/2006/relationships/chart" Target="../charts/chart5.xml"/><Relationship Id="rId15" Type="http://schemas.openxmlformats.org/officeDocument/2006/relationships/hyperlink" Target="#Graphic9!A1"/><Relationship Id="rId23" Type="http://schemas.openxmlformats.org/officeDocument/2006/relationships/hyperlink" Target="#Graphic6!A1"/><Relationship Id="rId28" Type="http://schemas.openxmlformats.org/officeDocument/2006/relationships/chart" Target="../charts/chart19.xml"/><Relationship Id="rId10" Type="http://schemas.openxmlformats.org/officeDocument/2006/relationships/chart" Target="../charts/chart10.xml"/><Relationship Id="rId19" Type="http://schemas.openxmlformats.org/officeDocument/2006/relationships/hyperlink" Target="#Graphic4!A1"/><Relationship Id="rId31" Type="http://schemas.openxmlformats.org/officeDocument/2006/relationships/hyperlink" Target="#Graphic2!A1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2.xml"/><Relationship Id="rId22" Type="http://schemas.openxmlformats.org/officeDocument/2006/relationships/chart" Target="../charts/chart16.xml"/><Relationship Id="rId27" Type="http://schemas.openxmlformats.org/officeDocument/2006/relationships/hyperlink" Target="#Graphic11!A1"/><Relationship Id="rId30" Type="http://schemas.openxmlformats.org/officeDocument/2006/relationships/chart" Target="../charts/chart20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9</xdr:row>
      <xdr:rowOff>19050</xdr:rowOff>
    </xdr:to>
    <xdr:graphicFrame macro="">
      <xdr:nvGraphicFramePr>
        <xdr:cNvPr id="3" name="ChartC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9</xdr:row>
      <xdr:rowOff>38100</xdr:rowOff>
    </xdr:to>
    <xdr:graphicFrame macro="">
      <xdr:nvGraphicFramePr>
        <xdr:cNvPr id="4" name="ChartG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14</xdr:row>
      <xdr:rowOff>28575</xdr:rowOff>
    </xdr:to>
    <xdr:graphicFrame macro="">
      <xdr:nvGraphicFramePr>
        <xdr:cNvPr id="5" name="Chart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14</xdr:row>
      <xdr:rowOff>28575</xdr:rowOff>
    </xdr:to>
    <xdr:graphicFrame macro="">
      <xdr:nvGraphicFramePr>
        <xdr:cNvPr id="6" name="Char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14</xdr:row>
      <xdr:rowOff>28575</xdr:rowOff>
    </xdr:to>
    <xdr:graphicFrame macro="">
      <xdr:nvGraphicFramePr>
        <xdr:cNvPr id="7" name="ChartH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14</xdr:row>
      <xdr:rowOff>28575</xdr:rowOff>
    </xdr:to>
    <xdr:graphicFrame macro="">
      <xdr:nvGraphicFramePr>
        <xdr:cNvPr id="8" name="ChartU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0</xdr:colOff>
      <xdr:row>12</xdr:row>
      <xdr:rowOff>0</xdr:rowOff>
    </xdr:from>
    <xdr:to>
      <xdr:col>7</xdr:col>
      <xdr:colOff>28575</xdr:colOff>
      <xdr:row>14</xdr:row>
      <xdr:rowOff>28575</xdr:rowOff>
    </xdr:to>
    <xdr:graphicFrame macro="">
      <xdr:nvGraphicFramePr>
        <xdr:cNvPr id="9" name="ChartV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9</xdr:row>
      <xdr:rowOff>28575</xdr:rowOff>
    </xdr:to>
    <xdr:graphicFrame macro="">
      <xdr:nvGraphicFramePr>
        <xdr:cNvPr id="10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9</xdr:row>
      <xdr:rowOff>19050</xdr:rowOff>
    </xdr:to>
    <xdr:graphicFrame macro="">
      <xdr:nvGraphicFramePr>
        <xdr:cNvPr id="11" name="ChartC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19</xdr:row>
      <xdr:rowOff>28575</xdr:rowOff>
    </xdr:to>
    <xdr:graphicFrame macro="">
      <xdr:nvGraphicFramePr>
        <xdr:cNvPr id="12" name="Chart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18</xdr:row>
      <xdr:rowOff>1</xdr:rowOff>
    </xdr:from>
    <xdr:to>
      <xdr:col>2</xdr:col>
      <xdr:colOff>2114550</xdr:colOff>
      <xdr:row>18</xdr:row>
      <xdr:rowOff>1562100</xdr:rowOff>
    </xdr:to>
    <xdr:graphicFrame macro="">
      <xdr:nvGraphicFramePr>
        <xdr:cNvPr id="29" name="Chart 28">
          <a:hlinkClick xmlns:r="http://schemas.openxmlformats.org/officeDocument/2006/relationships" r:id="rId11"/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0</xdr:colOff>
      <xdr:row>18</xdr:row>
      <xdr:rowOff>0</xdr:rowOff>
    </xdr:from>
    <xdr:to>
      <xdr:col>4</xdr:col>
      <xdr:colOff>2114550</xdr:colOff>
      <xdr:row>18</xdr:row>
      <xdr:rowOff>1562099</xdr:rowOff>
    </xdr:to>
    <xdr:graphicFrame macro="">
      <xdr:nvGraphicFramePr>
        <xdr:cNvPr id="30" name="Chart 29">
          <a:hlinkClick xmlns:r="http://schemas.openxmlformats.org/officeDocument/2006/relationships" r:id="rId13"/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33130</xdr:colOff>
      <xdr:row>18</xdr:row>
      <xdr:rowOff>41413</xdr:rowOff>
    </xdr:from>
    <xdr:to>
      <xdr:col>6</xdr:col>
      <xdr:colOff>2120347</xdr:colOff>
      <xdr:row>19</xdr:row>
      <xdr:rowOff>12008</xdr:rowOff>
    </xdr:to>
    <xdr:graphicFrame macro="">
      <xdr:nvGraphicFramePr>
        <xdr:cNvPr id="33" name="Chart 32">
          <a:hlinkClick xmlns:r="http://schemas.openxmlformats.org/officeDocument/2006/relationships" r:id="rId15"/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</xdr:col>
      <xdr:colOff>8283</xdr:colOff>
      <xdr:row>8</xdr:row>
      <xdr:rowOff>0</xdr:rowOff>
    </xdr:from>
    <xdr:to>
      <xdr:col>2</xdr:col>
      <xdr:colOff>2145195</xdr:colOff>
      <xdr:row>9</xdr:row>
      <xdr:rowOff>76200</xdr:rowOff>
    </xdr:to>
    <xdr:graphicFrame macro="">
      <xdr:nvGraphicFramePr>
        <xdr:cNvPr id="34" name="Chart 33">
          <a:hlinkClick xmlns:r="http://schemas.openxmlformats.org/officeDocument/2006/relationships" r:id="rId17"/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</xdr:col>
      <xdr:colOff>1</xdr:colOff>
      <xdr:row>12</xdr:row>
      <xdr:rowOff>172640</xdr:rowOff>
    </xdr:from>
    <xdr:to>
      <xdr:col>2</xdr:col>
      <xdr:colOff>2152651</xdr:colOff>
      <xdr:row>14</xdr:row>
      <xdr:rowOff>5953</xdr:rowOff>
    </xdr:to>
    <xdr:graphicFrame macro="">
      <xdr:nvGraphicFramePr>
        <xdr:cNvPr id="25" name="Chart 24">
          <a:hlinkClick xmlns:r="http://schemas.openxmlformats.org/officeDocument/2006/relationships" r:id="rId19"/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</xdr:col>
      <xdr:colOff>0</xdr:colOff>
      <xdr:row>12</xdr:row>
      <xdr:rowOff>172640</xdr:rowOff>
    </xdr:from>
    <xdr:to>
      <xdr:col>4</xdr:col>
      <xdr:colOff>2152650</xdr:colOff>
      <xdr:row>14</xdr:row>
      <xdr:rowOff>5953</xdr:rowOff>
    </xdr:to>
    <xdr:graphicFrame macro="">
      <xdr:nvGraphicFramePr>
        <xdr:cNvPr id="26" name="Chart 25">
          <a:hlinkClick xmlns:r="http://schemas.openxmlformats.org/officeDocument/2006/relationships" r:id="rId21"/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6</xdr:col>
      <xdr:colOff>41672</xdr:colOff>
      <xdr:row>12</xdr:row>
      <xdr:rowOff>166687</xdr:rowOff>
    </xdr:from>
    <xdr:to>
      <xdr:col>7</xdr:col>
      <xdr:colOff>5953</xdr:colOff>
      <xdr:row>14</xdr:row>
      <xdr:rowOff>0</xdr:rowOff>
    </xdr:to>
    <xdr:graphicFrame macro="">
      <xdr:nvGraphicFramePr>
        <xdr:cNvPr id="28" name="Chart 27">
          <a:hlinkClick xmlns:r="http://schemas.openxmlformats.org/officeDocument/2006/relationships" r:id="rId23"/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3</xdr:col>
      <xdr:colOff>0</xdr:colOff>
      <xdr:row>24</xdr:row>
      <xdr:rowOff>0</xdr:rowOff>
    </xdr:to>
    <xdr:graphicFrame macro="">
      <xdr:nvGraphicFramePr>
        <xdr:cNvPr id="22" name="Chart 21">
          <a:hlinkClick xmlns:r="http://schemas.openxmlformats.org/officeDocument/2006/relationships" r:id="rId25"/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2153478</xdr:colOff>
      <xdr:row>24</xdr:row>
      <xdr:rowOff>74543</xdr:rowOff>
    </xdr:to>
    <xdr:graphicFrame macro="">
      <xdr:nvGraphicFramePr>
        <xdr:cNvPr id="23" name="Chart 22">
          <a:hlinkClick xmlns:r="http://schemas.openxmlformats.org/officeDocument/2006/relationships" r:id="rId27"/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6</xdr:col>
      <xdr:colOff>24847</xdr:colOff>
      <xdr:row>22</xdr:row>
      <xdr:rowOff>281609</xdr:rowOff>
    </xdr:from>
    <xdr:to>
      <xdr:col>6</xdr:col>
      <xdr:colOff>2045804</xdr:colOff>
      <xdr:row>24</xdr:row>
      <xdr:rowOff>38927</xdr:rowOff>
    </xdr:to>
    <xdr:graphicFrame macro="">
      <xdr:nvGraphicFramePr>
        <xdr:cNvPr id="27" name="Chart 26">
          <a:hlinkClick xmlns:r="http://schemas.openxmlformats.org/officeDocument/2006/relationships" r:id="rId29"/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4</xdr:col>
      <xdr:colOff>9923</xdr:colOff>
      <xdr:row>8</xdr:row>
      <xdr:rowOff>19844</xdr:rowOff>
    </xdr:from>
    <xdr:to>
      <xdr:col>4</xdr:col>
      <xdr:colOff>2103439</xdr:colOff>
      <xdr:row>9</xdr:row>
      <xdr:rowOff>29765</xdr:rowOff>
    </xdr:to>
    <xdr:graphicFrame macro="">
      <xdr:nvGraphicFramePr>
        <xdr:cNvPr id="31" name="Chart 30">
          <a:hlinkClick xmlns:r="http://schemas.openxmlformats.org/officeDocument/2006/relationships" r:id="rId31"/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6</xdr:col>
      <xdr:colOff>0</xdr:colOff>
      <xdr:row>8</xdr:row>
      <xdr:rowOff>0</xdr:rowOff>
    </xdr:from>
    <xdr:to>
      <xdr:col>6</xdr:col>
      <xdr:colOff>2043907</xdr:colOff>
      <xdr:row>9</xdr:row>
      <xdr:rowOff>89296</xdr:rowOff>
    </xdr:to>
    <xdr:graphicFrame macro="">
      <xdr:nvGraphicFramePr>
        <xdr:cNvPr id="32" name="Chart 31">
          <a:hlinkClick xmlns:r="http://schemas.openxmlformats.org/officeDocument/2006/relationships" r:id="rId33"/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12</xdr:col>
      <xdr:colOff>676274</xdr:colOff>
      <xdr:row>31</xdr:row>
      <xdr:rowOff>123826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0</xdr:rowOff>
    </xdr:from>
    <xdr:to>
      <xdr:col>13</xdr:col>
      <xdr:colOff>0</xdr:colOff>
      <xdr:row>33</xdr:row>
      <xdr:rowOff>150395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12</xdr:col>
      <xdr:colOff>676274</xdr:colOff>
      <xdr:row>33</xdr:row>
      <xdr:rowOff>109141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13</xdr:col>
      <xdr:colOff>0</xdr:colOff>
      <xdr:row>33</xdr:row>
      <xdr:rowOff>176674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19051</xdr:rowOff>
    </xdr:from>
    <xdr:to>
      <xdr:col>12</xdr:col>
      <xdr:colOff>590550</xdr:colOff>
      <xdr:row>31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13</xdr:col>
      <xdr:colOff>0</xdr:colOff>
      <xdr:row>32</xdr:row>
      <xdr:rowOff>180976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612321</xdr:colOff>
      <xdr:row>33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19051</xdr:rowOff>
    </xdr:from>
    <xdr:to>
      <xdr:col>12</xdr:col>
      <xdr:colOff>0</xdr:colOff>
      <xdr:row>33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19051</xdr:rowOff>
    </xdr:from>
    <xdr:to>
      <xdr:col>11</xdr:col>
      <xdr:colOff>857250</xdr:colOff>
      <xdr:row>32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19050</xdr:rowOff>
    </xdr:from>
    <xdr:to>
      <xdr:col>11</xdr:col>
      <xdr:colOff>857250</xdr:colOff>
      <xdr:row>32</xdr:row>
      <xdr:rowOff>138905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12</xdr:col>
      <xdr:colOff>581024</xdr:colOff>
      <xdr:row>32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13</xdr:col>
      <xdr:colOff>1</xdr:colOff>
      <xdr:row>31</xdr:row>
      <xdr:rowOff>127000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eval%20Interoffice/reshallhist_MAST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SHBOARD%20WORKBOOKS\SampleDa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ycao/LOCALS~1/Temp/Temporary%20Directory%201%20for%202009%20AIR%20Forum.zip/SUNY%20Performance%20Indicator%20Dashboar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mplate"/>
      <sheetName val="capital plan 0607-1011"/>
      <sheetName val="Res hall reserves 05-06"/>
      <sheetName val="capital plan 0506-0910"/>
      <sheetName val="capital plan 0405-0809"/>
      <sheetName val="Res hall reserves 04-05"/>
      <sheetName val="Fire Task Force_0607"/>
      <sheetName val="Fire Task Force_0506"/>
      <sheetName val="DIN Categories_0607"/>
      <sheetName val="DIN Categories_0506"/>
      <sheetName val="Campus Projects 0607-1011"/>
      <sheetName val="Campus Projects 0506-0910"/>
      <sheetName val="new halls 0607-1011"/>
      <sheetName val="new halls 0506-0910"/>
      <sheetName val="Name"/>
      <sheetName val="debt service"/>
      <sheetName val="Utilization"/>
      <sheetName val="utiliz summary"/>
      <sheetName val="Utilization_sector avg."/>
      <sheetName val="Utiliz chart"/>
      <sheetName val="roomrates"/>
      <sheetName val="roomrates_sector avg."/>
      <sheetName val="revenue capacity"/>
      <sheetName val="fundbal"/>
      <sheetName val="Template dormops detail "/>
      <sheetName val="dormops 9899"/>
      <sheetName val="dormops 9900"/>
      <sheetName val="dormops 0001"/>
      <sheetName val="dormops 0102"/>
      <sheetName val="dormops 0203"/>
      <sheetName val="dormops 0304"/>
      <sheetName val="dormops 0405"/>
      <sheetName val="dormops 0506"/>
      <sheetName val="DIFR 0102"/>
      <sheetName val="DIFR 0203"/>
      <sheetName val="DIFR 0304"/>
      <sheetName val="DIFR 0405"/>
      <sheetName val="DIFR 0506"/>
      <sheetName val="DIFR cash PE"/>
      <sheetName val="rehab cash 9899"/>
      <sheetName val="rehab cash 9900"/>
      <sheetName val="rehab cash 0001"/>
      <sheetName val="rehab cash 0102"/>
      <sheetName val="rehab cash 0203"/>
      <sheetName val="rehab cash 0304"/>
      <sheetName val="rehab cash 0405"/>
      <sheetName val="rehab cash 0506"/>
      <sheetName val="rehab cash PE"/>
      <sheetName val="rehab projection"/>
      <sheetName val="rehab projection 0506"/>
      <sheetName val="rehab projection 0607"/>
      <sheetName val="cash balances"/>
      <sheetName val="Work"/>
      <sheetName val="debt % 04-05"/>
      <sheetName val="debt % 05-06"/>
      <sheetName val="debt % history"/>
      <sheetName val="debt % summary"/>
      <sheetName val="Sheet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A4">
            <v>2801</v>
          </cell>
        </row>
        <row r="34">
          <cell r="J34">
            <v>427506270.94999999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mpany"/>
      <sheetName val="SampleData"/>
    </sheetNames>
    <definedNames>
      <definedName name="DataNums" refersTo="='Company'!$B$20:$J$70"/>
      <definedName name="DataText" refersTo="='Company'!$B$2:$B$17"/>
      <definedName name="DataYr" refersTo="='Company'!$B$73:$G$126"/>
      <definedName name="DescQtr" refersTo="='Company'!$A$20:$A$70"/>
      <definedName name="DescText" refersTo="='Company'!$A$2:$A$17"/>
      <definedName name="DescYr" refersTo="='Company'!$A$73:$A$126"/>
      <definedName name="Name" refersTo="='Company'!$B$3"/>
      <definedName name="Quarter" refersTo="='Company'!$B$19:$J$19"/>
      <definedName name="Year" refersTo="='Company'!$B$72:$G$72"/>
      <definedName name="Year_End" refersTo="='Company'!$B$16"/>
    </definedNames>
    <sheetDataSet>
      <sheetData sheetId="0">
        <row r="3">
          <cell r="A3" t="str">
            <v>Name</v>
          </cell>
          <cell r="B3" t="str">
            <v>Acme, Inc.</v>
          </cell>
        </row>
        <row r="4">
          <cell r="A4" t="str">
            <v>Address</v>
          </cell>
          <cell r="B4" t="str">
            <v>121 Park Ave.</v>
          </cell>
        </row>
        <row r="5">
          <cell r="A5" t="str">
            <v>Address CSZ</v>
          </cell>
          <cell r="B5" t="str">
            <v>New York, NY 10017</v>
          </cell>
        </row>
        <row r="6">
          <cell r="A6" t="str">
            <v>Phone</v>
          </cell>
          <cell r="B6" t="str">
            <v>917-555-4000</v>
          </cell>
        </row>
        <row r="7">
          <cell r="A7" t="str">
            <v>Fax</v>
          </cell>
          <cell r="B7" t="str">
            <v>917-555-2167</v>
          </cell>
        </row>
        <row r="8">
          <cell r="A8" t="str">
            <v>Toll Free</v>
          </cell>
          <cell r="B8" t="str">
            <v/>
          </cell>
        </row>
        <row r="9">
          <cell r="A9" t="str">
            <v>Top Competitor 1</v>
          </cell>
          <cell r="B9" t="str">
            <v>International Widgets</v>
          </cell>
        </row>
        <row r="10">
          <cell r="A10" t="str">
            <v>Top Competitor 2</v>
          </cell>
          <cell r="B10" t="str">
            <v>Tinsel Tools</v>
          </cell>
        </row>
        <row r="11">
          <cell r="A11" t="str">
            <v>Top Competitor 3</v>
          </cell>
          <cell r="B11" t="str">
            <v>Rust Belt Inc.</v>
          </cell>
        </row>
        <row r="12">
          <cell r="A12" t="str">
            <v>Industry</v>
          </cell>
          <cell r="B12" t="str">
            <v>Hand Tools, Power Tools, Lawn &amp; Garden Equipment</v>
          </cell>
        </row>
        <row r="13">
          <cell r="A13" t="str">
            <v>Web Site</v>
          </cell>
          <cell r="B13" t="str">
            <v>http://www.acmenow.com</v>
          </cell>
        </row>
        <row r="14">
          <cell r="A14" t="str">
            <v>Ticker</v>
          </cell>
          <cell r="B14" t="str">
            <v>ACME</v>
          </cell>
        </row>
        <row r="15">
          <cell r="A15" t="str">
            <v>Exchange</v>
          </cell>
          <cell r="B15" t="str">
            <v>AMEX</v>
          </cell>
        </row>
        <row r="16">
          <cell r="A16" t="str">
            <v>Year End</v>
          </cell>
          <cell r="B16" t="str">
            <v>Dec</v>
          </cell>
        </row>
        <row r="19">
          <cell r="C19" t="str">
            <v>Jun-2003</v>
          </cell>
          <cell r="D19" t="str">
            <v>Sep-2003</v>
          </cell>
          <cell r="E19" t="str">
            <v>Dec-2003</v>
          </cell>
          <cell r="F19" t="str">
            <v>Mar-2004</v>
          </cell>
          <cell r="G19" t="str">
            <v>Jun-2004</v>
          </cell>
          <cell r="H19" t="str">
            <v>Sep-2004</v>
          </cell>
          <cell r="I19" t="str">
            <v>Dec-2004</v>
          </cell>
        </row>
        <row r="21">
          <cell r="A21" t="str">
            <v>Revenue</v>
          </cell>
          <cell r="C21">
            <v>14550</v>
          </cell>
          <cell r="D21">
            <v>11813</v>
          </cell>
          <cell r="E21">
            <v>10057</v>
          </cell>
          <cell r="F21">
            <v>8602</v>
          </cell>
          <cell r="G21">
            <v>9416</v>
          </cell>
          <cell r="H21">
            <v>9886</v>
          </cell>
          <cell r="I21">
            <v>9268</v>
          </cell>
        </row>
        <row r="22">
          <cell r="A22" t="str">
            <v>Cost of Goods Sold</v>
          </cell>
          <cell r="C22">
            <v>5347</v>
          </cell>
          <cell r="D22">
            <v>4249</v>
          </cell>
          <cell r="E22">
            <v>5231</v>
          </cell>
          <cell r="F22">
            <v>4269</v>
          </cell>
          <cell r="G22">
            <v>4726</v>
          </cell>
          <cell r="H22">
            <v>4967</v>
          </cell>
          <cell r="I22">
            <v>4790</v>
          </cell>
        </row>
        <row r="23">
          <cell r="A23" t="str">
            <v>Gross Profit</v>
          </cell>
          <cell r="C23">
            <v>9203</v>
          </cell>
          <cell r="D23">
            <v>7564</v>
          </cell>
          <cell r="E23">
            <v>4826</v>
          </cell>
          <cell r="F23">
            <v>4332</v>
          </cell>
          <cell r="G23">
            <v>4691</v>
          </cell>
          <cell r="H23">
            <v>4919</v>
          </cell>
          <cell r="I23">
            <v>4478</v>
          </cell>
        </row>
        <row r="24">
          <cell r="A24" t="str">
            <v>Gross Profit Margin</v>
          </cell>
          <cell r="C24">
            <v>0.63300000000000001</v>
          </cell>
          <cell r="D24">
            <v>0.64</v>
          </cell>
          <cell r="E24">
            <v>0.48</v>
          </cell>
          <cell r="F24">
            <v>0.504</v>
          </cell>
          <cell r="G24">
            <v>0.498</v>
          </cell>
          <cell r="H24">
            <v>0.498</v>
          </cell>
          <cell r="I24">
            <v>0.48299999999999998</v>
          </cell>
        </row>
        <row r="25">
          <cell r="A25" t="str">
            <v>SG&amp;A Expense</v>
          </cell>
          <cell r="C25">
            <v>2173</v>
          </cell>
          <cell r="D25">
            <v>1787</v>
          </cell>
          <cell r="E25">
            <v>2132</v>
          </cell>
          <cell r="F25">
            <v>1868</v>
          </cell>
          <cell r="G25">
            <v>1986</v>
          </cell>
          <cell r="H25">
            <v>2054</v>
          </cell>
          <cell r="I25">
            <v>2029</v>
          </cell>
        </row>
        <row r="26">
          <cell r="A26" t="str">
            <v>Depreciation &amp; Amortization</v>
          </cell>
          <cell r="C26">
            <v>237</v>
          </cell>
          <cell r="D26">
            <v>209</v>
          </cell>
          <cell r="E26">
            <v>254</v>
          </cell>
          <cell r="F26">
            <v>213</v>
          </cell>
          <cell r="G26">
            <v>222</v>
          </cell>
          <cell r="H26">
            <v>246</v>
          </cell>
          <cell r="I26">
            <v>253</v>
          </cell>
        </row>
        <row r="27">
          <cell r="A27" t="str">
            <v>Operating Income</v>
          </cell>
          <cell r="C27">
            <v>3061</v>
          </cell>
          <cell r="D27">
            <v>2388</v>
          </cell>
          <cell r="E27">
            <v>2440</v>
          </cell>
          <cell r="F27">
            <v>2252</v>
          </cell>
          <cell r="G27">
            <v>2483</v>
          </cell>
          <cell r="H27">
            <v>2620</v>
          </cell>
          <cell r="I27">
            <v>2196</v>
          </cell>
        </row>
        <row r="28">
          <cell r="A28" t="str">
            <v>Operating Margin</v>
          </cell>
          <cell r="C28">
            <v>0.21</v>
          </cell>
          <cell r="D28">
            <v>0.20199999999999999</v>
          </cell>
          <cell r="E28">
            <v>0.24299999999999999</v>
          </cell>
          <cell r="F28">
            <v>0.26200000000000001</v>
          </cell>
          <cell r="G28">
            <v>0.26400000000000001</v>
          </cell>
          <cell r="H28">
            <v>0.26500000000000001</v>
          </cell>
          <cell r="I28">
            <v>0.23699999999999999</v>
          </cell>
        </row>
        <row r="29">
          <cell r="A29" t="str">
            <v>Nonoperating Income</v>
          </cell>
          <cell r="C29">
            <v>0</v>
          </cell>
          <cell r="D29">
            <v>0</v>
          </cell>
          <cell r="E29">
            <v>130</v>
          </cell>
          <cell r="F29">
            <v>0</v>
          </cell>
          <cell r="G29">
            <v>0</v>
          </cell>
          <cell r="H29">
            <v>0</v>
          </cell>
          <cell r="I29">
            <v>139</v>
          </cell>
        </row>
        <row r="30">
          <cell r="A30" t="str">
            <v>Nonoperating Expenses</v>
          </cell>
          <cell r="C30">
            <v>3916</v>
          </cell>
          <cell r="D30">
            <v>3350</v>
          </cell>
          <cell r="E30">
            <v>339</v>
          </cell>
          <cell r="F30">
            <v>166</v>
          </cell>
          <cell r="G30">
            <v>170</v>
          </cell>
          <cell r="H30">
            <v>178</v>
          </cell>
          <cell r="I30">
            <v>369</v>
          </cell>
        </row>
        <row r="31">
          <cell r="A31" t="str">
            <v>Income Before Taxes</v>
          </cell>
          <cell r="C31">
            <v>2744</v>
          </cell>
          <cell r="D31">
            <v>2213</v>
          </cell>
          <cell r="E31">
            <v>2170</v>
          </cell>
          <cell r="F31">
            <v>1900</v>
          </cell>
          <cell r="G31">
            <v>2072</v>
          </cell>
          <cell r="H31">
            <v>2395</v>
          </cell>
          <cell r="I31">
            <v>1786</v>
          </cell>
        </row>
        <row r="32">
          <cell r="A32" t="str">
            <v>Income Taxes</v>
          </cell>
          <cell r="C32">
            <v>965</v>
          </cell>
          <cell r="D32">
            <v>763</v>
          </cell>
          <cell r="E32">
            <v>753</v>
          </cell>
          <cell r="F32">
            <v>657</v>
          </cell>
          <cell r="G32">
            <v>551</v>
          </cell>
          <cell r="H32">
            <v>801</v>
          </cell>
          <cell r="I32">
            <v>634</v>
          </cell>
        </row>
        <row r="33">
          <cell r="A33" t="str">
            <v>Net Income After Taxes</v>
          </cell>
          <cell r="C33">
            <v>1778</v>
          </cell>
          <cell r="D33">
            <v>1449</v>
          </cell>
          <cell r="E33">
            <v>1417</v>
          </cell>
          <cell r="F33">
            <v>1242</v>
          </cell>
          <cell r="G33">
            <v>1521</v>
          </cell>
          <cell r="H33">
            <v>1593</v>
          </cell>
          <cell r="I33">
            <v>1152</v>
          </cell>
        </row>
        <row r="34">
          <cell r="A34" t="str">
            <v>Continuing Operations</v>
          </cell>
          <cell r="C34">
            <v>1702</v>
          </cell>
          <cell r="D34">
            <v>1405</v>
          </cell>
          <cell r="E34">
            <v>1363</v>
          </cell>
          <cell r="F34">
            <v>1216</v>
          </cell>
          <cell r="G34">
            <v>1504</v>
          </cell>
          <cell r="H34">
            <v>1639</v>
          </cell>
          <cell r="I34">
            <v>1129</v>
          </cell>
        </row>
        <row r="35">
          <cell r="A35" t="str">
            <v>Discontinued Operations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-2</v>
          </cell>
        </row>
        <row r="36">
          <cell r="A36" t="str">
            <v>Total Operations</v>
          </cell>
          <cell r="C36">
            <v>1702</v>
          </cell>
          <cell r="D36">
            <v>1405</v>
          </cell>
          <cell r="E36">
            <v>1363</v>
          </cell>
          <cell r="F36">
            <v>1216</v>
          </cell>
          <cell r="G36">
            <v>1504</v>
          </cell>
          <cell r="H36">
            <v>1639</v>
          </cell>
          <cell r="I36">
            <v>1127</v>
          </cell>
        </row>
        <row r="37">
          <cell r="A37" t="str">
            <v>Total Net Income</v>
          </cell>
          <cell r="C37">
            <v>1702</v>
          </cell>
          <cell r="D37">
            <v>1405</v>
          </cell>
          <cell r="E37">
            <v>1363</v>
          </cell>
          <cell r="F37">
            <v>1216</v>
          </cell>
          <cell r="G37">
            <v>1504</v>
          </cell>
          <cell r="H37">
            <v>1639</v>
          </cell>
          <cell r="I37">
            <v>1127</v>
          </cell>
        </row>
        <row r="38">
          <cell r="A38" t="str">
            <v>Net Profit Margin</v>
          </cell>
          <cell r="C38">
            <v>0.11699999999999999</v>
          </cell>
          <cell r="D38">
            <v>0.11900000000000001</v>
          </cell>
          <cell r="E38">
            <v>0.13600000000000001</v>
          </cell>
          <cell r="F38">
            <v>0.14099999999999999</v>
          </cell>
          <cell r="G38">
            <v>0.16</v>
          </cell>
          <cell r="H38">
            <v>0.16600000000000001</v>
          </cell>
          <cell r="I38">
            <v>0.122</v>
          </cell>
        </row>
        <row r="39">
          <cell r="A39" t="str">
            <v>Diluted EPS from Continuing Operations</v>
          </cell>
          <cell r="C39">
            <v>0.8</v>
          </cell>
          <cell r="D39">
            <v>0.7</v>
          </cell>
          <cell r="E39">
            <v>0.7</v>
          </cell>
          <cell r="F39">
            <v>0.6</v>
          </cell>
          <cell r="G39">
            <v>0.7</v>
          </cell>
          <cell r="H39">
            <v>0.8</v>
          </cell>
          <cell r="I39">
            <v>0.5</v>
          </cell>
        </row>
        <row r="40">
          <cell r="A40" t="str">
            <v>Diluted EPS from Discontinued Operations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Diluted EPS from Total Operations</v>
          </cell>
          <cell r="C41">
            <v>0.8</v>
          </cell>
          <cell r="D41">
            <v>0.7</v>
          </cell>
          <cell r="E41">
            <v>0.7</v>
          </cell>
          <cell r="F41">
            <v>0.6</v>
          </cell>
          <cell r="G41">
            <v>0.7</v>
          </cell>
          <cell r="H41">
            <v>0.8</v>
          </cell>
          <cell r="I41">
            <v>0.5</v>
          </cell>
        </row>
        <row r="42">
          <cell r="A42" t="str">
            <v>Diluted EPS from Total Net Income</v>
          </cell>
          <cell r="C42">
            <v>0.8</v>
          </cell>
          <cell r="D42">
            <v>0.7</v>
          </cell>
          <cell r="E42">
            <v>0.7</v>
          </cell>
          <cell r="F42">
            <v>0.6</v>
          </cell>
          <cell r="G42">
            <v>0.7</v>
          </cell>
          <cell r="H42">
            <v>0.8</v>
          </cell>
          <cell r="I42">
            <v>0.5</v>
          </cell>
        </row>
        <row r="43">
          <cell r="A43" t="str">
            <v>Dividends per Share</v>
          </cell>
          <cell r="C43">
            <v>0.45</v>
          </cell>
          <cell r="D43">
            <v>0.36</v>
          </cell>
          <cell r="E43">
            <v>0.44</v>
          </cell>
          <cell r="F43">
            <v>0.38</v>
          </cell>
          <cell r="G43">
            <v>0.39</v>
          </cell>
          <cell r="H43">
            <v>0.42</v>
          </cell>
          <cell r="I43">
            <v>0.42</v>
          </cell>
        </row>
        <row r="44">
          <cell r="A44" t="str">
            <v>Cash</v>
          </cell>
          <cell r="C44">
            <v>3375</v>
          </cell>
          <cell r="D44">
            <v>3412</v>
          </cell>
          <cell r="E44">
            <v>2462</v>
          </cell>
          <cell r="F44">
            <v>1776</v>
          </cell>
          <cell r="G44">
            <v>2881</v>
          </cell>
          <cell r="H44">
            <v>4127</v>
          </cell>
          <cell r="I44">
            <v>3323</v>
          </cell>
        </row>
        <row r="45">
          <cell r="A45" t="str">
            <v>Net Receivables</v>
          </cell>
          <cell r="C45">
            <v>3909</v>
          </cell>
          <cell r="D45">
            <v>2912</v>
          </cell>
          <cell r="E45">
            <v>3425</v>
          </cell>
          <cell r="F45">
            <v>3099</v>
          </cell>
          <cell r="G45">
            <v>3248</v>
          </cell>
          <cell r="H45">
            <v>3398</v>
          </cell>
          <cell r="I45">
            <v>3329</v>
          </cell>
        </row>
        <row r="46">
          <cell r="A46" t="str">
            <v>Inventories</v>
          </cell>
          <cell r="C46">
            <v>6623</v>
          </cell>
          <cell r="D46">
            <v>5163</v>
          </cell>
          <cell r="E46">
            <v>6217</v>
          </cell>
          <cell r="F46">
            <v>5288</v>
          </cell>
          <cell r="G46">
            <v>5277</v>
          </cell>
          <cell r="H46">
            <v>5969</v>
          </cell>
          <cell r="I46">
            <v>5810</v>
          </cell>
        </row>
        <row r="47">
          <cell r="A47" t="str">
            <v>Other Current Assets</v>
          </cell>
          <cell r="C47">
            <v>1620</v>
          </cell>
          <cell r="D47">
            <v>1409</v>
          </cell>
          <cell r="E47">
            <v>1831</v>
          </cell>
          <cell r="F47">
            <v>1097</v>
          </cell>
          <cell r="G47">
            <v>1276</v>
          </cell>
          <cell r="H47">
            <v>1541</v>
          </cell>
          <cell r="I47">
            <v>2524</v>
          </cell>
        </row>
        <row r="48">
          <cell r="A48" t="str">
            <v>Total Current Assets</v>
          </cell>
          <cell r="C48">
            <v>15526</v>
          </cell>
          <cell r="D48">
            <v>12896</v>
          </cell>
          <cell r="E48">
            <v>13935</v>
          </cell>
          <cell r="F48">
            <v>11260</v>
          </cell>
          <cell r="G48">
            <v>12681</v>
          </cell>
          <cell r="H48">
            <v>15035</v>
          </cell>
          <cell r="I48">
            <v>14986</v>
          </cell>
        </row>
        <row r="49">
          <cell r="A49" t="str">
            <v>Net Fixed Assets</v>
          </cell>
          <cell r="C49">
            <v>10911</v>
          </cell>
          <cell r="D49">
            <v>8675</v>
          </cell>
          <cell r="E49">
            <v>10471</v>
          </cell>
          <cell r="F49">
            <v>8871</v>
          </cell>
          <cell r="G49">
            <v>9031</v>
          </cell>
          <cell r="H49">
            <v>9797</v>
          </cell>
          <cell r="I49">
            <v>9434</v>
          </cell>
        </row>
        <row r="50">
          <cell r="A50" t="str">
            <v>Other Noncurrent Assets</v>
          </cell>
          <cell r="C50">
            <v>39325</v>
          </cell>
          <cell r="D50">
            <v>31701</v>
          </cell>
          <cell r="E50">
            <v>38273</v>
          </cell>
          <cell r="F50">
            <v>32826</v>
          </cell>
          <cell r="G50">
            <v>34356</v>
          </cell>
          <cell r="H50">
            <v>37198</v>
          </cell>
          <cell r="I50">
            <v>34393</v>
          </cell>
        </row>
        <row r="51">
          <cell r="A51" t="str">
            <v>Total Assets</v>
          </cell>
          <cell r="C51">
            <v>65762</v>
          </cell>
          <cell r="D51">
            <v>53272</v>
          </cell>
          <cell r="E51">
            <v>62679</v>
          </cell>
          <cell r="F51">
            <v>52958</v>
          </cell>
          <cell r="G51">
            <v>56069</v>
          </cell>
          <cell r="H51">
            <v>62030</v>
          </cell>
          <cell r="I51">
            <v>58813</v>
          </cell>
        </row>
        <row r="52">
          <cell r="A52" t="str">
            <v>Accounts Payable</v>
          </cell>
          <cell r="C52">
            <v>1851</v>
          </cell>
          <cell r="D52">
            <v>1489</v>
          </cell>
          <cell r="E52">
            <v>2084</v>
          </cell>
          <cell r="F52">
            <v>1541</v>
          </cell>
          <cell r="G52">
            <v>1647</v>
          </cell>
          <cell r="H52">
            <v>1811</v>
          </cell>
          <cell r="I52">
            <v>2005</v>
          </cell>
        </row>
        <row r="53">
          <cell r="A53" t="str">
            <v>Short-Term Debt</v>
          </cell>
          <cell r="C53">
            <v>5176</v>
          </cell>
          <cell r="D53">
            <v>3349</v>
          </cell>
          <cell r="E53">
            <v>2200</v>
          </cell>
          <cell r="F53">
            <v>2229</v>
          </cell>
          <cell r="G53">
            <v>2476</v>
          </cell>
          <cell r="H53">
            <v>2663</v>
          </cell>
          <cell r="I53">
            <v>2486</v>
          </cell>
        </row>
        <row r="54">
          <cell r="A54" t="str">
            <v>Other Current Liabilities</v>
          </cell>
          <cell r="C54">
            <v>9323</v>
          </cell>
          <cell r="D54">
            <v>8206</v>
          </cell>
          <cell r="E54">
            <v>9658</v>
          </cell>
          <cell r="F54">
            <v>6661</v>
          </cell>
          <cell r="G54">
            <v>7932</v>
          </cell>
          <cell r="H54">
            <v>9755</v>
          </cell>
          <cell r="I54">
            <v>9148</v>
          </cell>
        </row>
        <row r="55">
          <cell r="A55" t="str">
            <v>Total Current Liabilities</v>
          </cell>
          <cell r="C55">
            <v>16350</v>
          </cell>
          <cell r="D55">
            <v>13045</v>
          </cell>
          <cell r="E55">
            <v>13942</v>
          </cell>
          <cell r="F55">
            <v>10431</v>
          </cell>
          <cell r="G55">
            <v>12055</v>
          </cell>
          <cell r="H55">
            <v>14228</v>
          </cell>
          <cell r="I55">
            <v>13640</v>
          </cell>
        </row>
        <row r="56">
          <cell r="A56" t="str">
            <v>Long-Term Debt</v>
          </cell>
          <cell r="C56">
            <v>14731</v>
          </cell>
          <cell r="D56">
            <v>11727</v>
          </cell>
          <cell r="E56">
            <v>13792</v>
          </cell>
          <cell r="F56">
            <v>11843</v>
          </cell>
          <cell r="G56">
            <v>11772</v>
          </cell>
          <cell r="H56">
            <v>12116</v>
          </cell>
          <cell r="I56">
            <v>10810</v>
          </cell>
        </row>
        <row r="57">
          <cell r="A57" t="str">
            <v>Other Noncurrent Liabilities</v>
          </cell>
          <cell r="C57">
            <v>7648</v>
          </cell>
          <cell r="D57">
            <v>6006</v>
          </cell>
          <cell r="E57">
            <v>6955</v>
          </cell>
          <cell r="F57">
            <v>5963</v>
          </cell>
          <cell r="G57">
            <v>6043</v>
          </cell>
          <cell r="H57">
            <v>6493</v>
          </cell>
          <cell r="I57">
            <v>5994</v>
          </cell>
        </row>
        <row r="58">
          <cell r="A58" t="str">
            <v>Total Liabilities</v>
          </cell>
          <cell r="C58">
            <v>50229</v>
          </cell>
          <cell r="D58">
            <v>40393</v>
          </cell>
          <cell r="E58">
            <v>46336</v>
          </cell>
          <cell r="F58">
            <v>38084</v>
          </cell>
          <cell r="G58">
            <v>40165</v>
          </cell>
          <cell r="H58">
            <v>44034</v>
          </cell>
          <cell r="I58">
            <v>41042</v>
          </cell>
        </row>
        <row r="59">
          <cell r="A59" t="str">
            <v>Preferred Stock Equity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Common Stock Equity</v>
          </cell>
          <cell r="C60">
            <v>15532</v>
          </cell>
          <cell r="D60">
            <v>12879</v>
          </cell>
          <cell r="E60">
            <v>16343</v>
          </cell>
          <cell r="F60">
            <v>14874</v>
          </cell>
          <cell r="G60">
            <v>15904</v>
          </cell>
          <cell r="H60">
            <v>17996</v>
          </cell>
          <cell r="I60">
            <v>17771</v>
          </cell>
        </row>
        <row r="61">
          <cell r="A61" t="str">
            <v>Total Equity</v>
          </cell>
          <cell r="C61">
            <v>15532</v>
          </cell>
          <cell r="D61">
            <v>12879</v>
          </cell>
          <cell r="E61">
            <v>16343</v>
          </cell>
          <cell r="F61">
            <v>14874</v>
          </cell>
          <cell r="G61">
            <v>15904</v>
          </cell>
          <cell r="H61">
            <v>17996</v>
          </cell>
          <cell r="I61">
            <v>17771</v>
          </cell>
        </row>
        <row r="62">
          <cell r="A62" t="str">
            <v>Shares Outstanding (mil.)</v>
          </cell>
          <cell r="C62">
            <v>1417</v>
          </cell>
          <cell r="D62">
            <v>1145</v>
          </cell>
          <cell r="E62">
            <v>1328</v>
          </cell>
          <cell r="F62">
            <v>1136</v>
          </cell>
          <cell r="G62">
            <v>1175</v>
          </cell>
          <cell r="H62">
            <v>1270</v>
          </cell>
          <cell r="I62">
            <v>1192</v>
          </cell>
        </row>
        <row r="63">
          <cell r="A63" t="str">
            <v>Net Operating Cash Flow</v>
          </cell>
          <cell r="C63">
            <v>2900</v>
          </cell>
          <cell r="D63">
            <v>5021</v>
          </cell>
          <cell r="E63">
            <v>7049</v>
          </cell>
          <cell r="F63">
            <v>160</v>
          </cell>
          <cell r="G63">
            <v>2500</v>
          </cell>
          <cell r="H63">
            <v>5447</v>
          </cell>
          <cell r="I63">
            <v>6301</v>
          </cell>
        </row>
        <row r="64">
          <cell r="A64" t="str">
            <v>Net Investing Cash Flow</v>
          </cell>
          <cell r="C64">
            <v>-857</v>
          </cell>
          <cell r="D64">
            <v>-915</v>
          </cell>
          <cell r="E64">
            <v>-1582</v>
          </cell>
          <cell r="F64">
            <v>-204</v>
          </cell>
          <cell r="G64">
            <v>-299</v>
          </cell>
          <cell r="H64">
            <v>-447</v>
          </cell>
          <cell r="I64">
            <v>-819</v>
          </cell>
        </row>
        <row r="65">
          <cell r="A65" t="str">
            <v>Net Financing Cash Flow</v>
          </cell>
          <cell r="C65">
            <v>805</v>
          </cell>
          <cell r="D65">
            <v>-1000</v>
          </cell>
          <cell r="E65">
            <v>-3558</v>
          </cell>
          <cell r="F65">
            <v>-320</v>
          </cell>
          <cell r="G65">
            <v>-1485</v>
          </cell>
          <cell r="H65">
            <v>-3236</v>
          </cell>
          <cell r="I65">
            <v>-4618</v>
          </cell>
        </row>
        <row r="66">
          <cell r="A66" t="str">
            <v>Net Change in Cash</v>
          </cell>
          <cell r="C66">
            <v>2980</v>
          </cell>
          <cell r="D66">
            <v>3093</v>
          </cell>
          <cell r="E66">
            <v>2093</v>
          </cell>
          <cell r="F66">
            <v>-318</v>
          </cell>
          <cell r="G66">
            <v>718</v>
          </cell>
          <cell r="H66">
            <v>1790</v>
          </cell>
          <cell r="I66">
            <v>1138</v>
          </cell>
        </row>
        <row r="67">
          <cell r="A67" t="str">
            <v>Depreciation &amp; Amortization</v>
          </cell>
          <cell r="C67">
            <v>237</v>
          </cell>
          <cell r="D67">
            <v>209</v>
          </cell>
          <cell r="E67">
            <v>254</v>
          </cell>
          <cell r="F67">
            <v>213</v>
          </cell>
          <cell r="G67">
            <v>222</v>
          </cell>
          <cell r="H67">
            <v>246</v>
          </cell>
          <cell r="I67">
            <v>253</v>
          </cell>
        </row>
        <row r="68">
          <cell r="A68" t="str">
            <v>Capital Expenditures</v>
          </cell>
          <cell r="C68">
            <v>-686</v>
          </cell>
          <cell r="D68">
            <v>-1092</v>
          </cell>
          <cell r="E68">
            <v>-1965</v>
          </cell>
          <cell r="F68">
            <v>-265</v>
          </cell>
          <cell r="G68">
            <v>-507</v>
          </cell>
          <cell r="H68">
            <v>-741</v>
          </cell>
          <cell r="I68">
            <v>-1210</v>
          </cell>
        </row>
        <row r="69">
          <cell r="A69" t="str">
            <v>Cash Dividends Paid</v>
          </cell>
          <cell r="C69">
            <v>-1821</v>
          </cell>
          <cell r="D69">
            <v>-2203</v>
          </cell>
          <cell r="E69">
            <v>-3444</v>
          </cell>
          <cell r="F69">
            <v>-768</v>
          </cell>
          <cell r="G69">
            <v>-1591</v>
          </cell>
          <cell r="H69">
            <v>-2582</v>
          </cell>
          <cell r="I69">
            <v>-3282</v>
          </cell>
        </row>
        <row r="72">
          <cell r="C72">
            <v>2001</v>
          </cell>
          <cell r="D72">
            <v>2002</v>
          </cell>
          <cell r="E72">
            <v>2003</v>
          </cell>
          <cell r="F72">
            <v>2004</v>
          </cell>
        </row>
        <row r="74">
          <cell r="A74" t="str">
            <v>Revenue</v>
          </cell>
          <cell r="C74">
            <v>62809</v>
          </cell>
          <cell r="D74">
            <v>35081</v>
          </cell>
          <cell r="E74">
            <v>39562</v>
          </cell>
          <cell r="F74">
            <v>35445</v>
          </cell>
        </row>
        <row r="75">
          <cell r="A75" t="str">
            <v>Cost of Goods Sold</v>
          </cell>
          <cell r="C75">
            <v>22312</v>
          </cell>
          <cell r="D75">
            <v>17728</v>
          </cell>
          <cell r="E75">
            <v>19838</v>
          </cell>
          <cell r="F75">
            <v>17879</v>
          </cell>
        </row>
        <row r="76">
          <cell r="A76" t="str">
            <v>Gross Profit</v>
          </cell>
          <cell r="C76">
            <v>40497</v>
          </cell>
          <cell r="D76">
            <v>17353</v>
          </cell>
          <cell r="E76">
            <v>19724</v>
          </cell>
          <cell r="F76">
            <v>17567</v>
          </cell>
        </row>
        <row r="77">
          <cell r="A77" t="str">
            <v>Gross Profit Margin</v>
          </cell>
          <cell r="C77">
            <v>0.64500000000000002</v>
          </cell>
          <cell r="D77">
            <v>0.495</v>
          </cell>
          <cell r="E77">
            <v>0.499</v>
          </cell>
          <cell r="F77">
            <v>0.496</v>
          </cell>
        </row>
        <row r="78">
          <cell r="A78" t="str">
            <v>SG&amp;A Expense</v>
          </cell>
          <cell r="C78">
            <v>16037</v>
          </cell>
          <cell r="D78">
            <v>6929</v>
          </cell>
          <cell r="E78">
            <v>8213</v>
          </cell>
          <cell r="F78">
            <v>7573</v>
          </cell>
        </row>
        <row r="79">
          <cell r="A79" t="str">
            <v>Depreciation &amp; Amortization</v>
          </cell>
          <cell r="C79">
            <v>1632</v>
          </cell>
          <cell r="D79">
            <v>751</v>
          </cell>
          <cell r="E79">
            <v>938</v>
          </cell>
          <cell r="F79">
            <v>891</v>
          </cell>
        </row>
        <row r="80">
          <cell r="A80" t="str">
            <v>Operating Income</v>
          </cell>
          <cell r="C80">
            <v>10967</v>
          </cell>
          <cell r="D80">
            <v>9673</v>
          </cell>
          <cell r="E80">
            <v>10573</v>
          </cell>
          <cell r="F80">
            <v>9104</v>
          </cell>
        </row>
        <row r="81">
          <cell r="A81" t="str">
            <v>Operating Margin</v>
          </cell>
          <cell r="C81">
            <v>0.17499999999999999</v>
          </cell>
          <cell r="D81">
            <v>0.27600000000000002</v>
          </cell>
          <cell r="E81">
            <v>0.26700000000000002</v>
          </cell>
          <cell r="F81">
            <v>0.25700000000000001</v>
          </cell>
        </row>
        <row r="82">
          <cell r="A82" t="str">
            <v>Nonoperating Income</v>
          </cell>
          <cell r="C82">
            <v>0</v>
          </cell>
          <cell r="D82">
            <v>109</v>
          </cell>
          <cell r="E82">
            <v>141</v>
          </cell>
          <cell r="F82">
            <v>134</v>
          </cell>
        </row>
        <row r="83">
          <cell r="A83" t="str">
            <v>Nonoperating Expenses</v>
          </cell>
          <cell r="C83">
            <v>12850</v>
          </cell>
          <cell r="D83">
            <v>749</v>
          </cell>
          <cell r="E83">
            <v>891</v>
          </cell>
          <cell r="F83">
            <v>844</v>
          </cell>
        </row>
        <row r="84">
          <cell r="A84" t="str">
            <v>Income Before Taxes</v>
          </cell>
          <cell r="C84">
            <v>9977</v>
          </cell>
          <cell r="D84">
            <v>10210</v>
          </cell>
          <cell r="E84">
            <v>9619</v>
          </cell>
          <cell r="F84">
            <v>7760</v>
          </cell>
        </row>
        <row r="85">
          <cell r="A85" t="str">
            <v>Income Taxes</v>
          </cell>
          <cell r="C85">
            <v>3777</v>
          </cell>
          <cell r="D85">
            <v>3624</v>
          </cell>
          <cell r="E85">
            <v>3357</v>
          </cell>
          <cell r="F85">
            <v>2516</v>
          </cell>
        </row>
        <row r="86">
          <cell r="A86" t="str">
            <v>Net Income After Taxes</v>
          </cell>
          <cell r="C86">
            <v>6200</v>
          </cell>
          <cell r="D86">
            <v>6586</v>
          </cell>
          <cell r="E86">
            <v>6262</v>
          </cell>
          <cell r="F86">
            <v>5245</v>
          </cell>
        </row>
        <row r="87">
          <cell r="A87" t="str">
            <v>Continuing Operations</v>
          </cell>
          <cell r="C87">
            <v>5983</v>
          </cell>
          <cell r="D87">
            <v>6263</v>
          </cell>
          <cell r="E87">
            <v>5998</v>
          </cell>
          <cell r="F87">
            <v>5220</v>
          </cell>
        </row>
        <row r="88">
          <cell r="A88" t="str">
            <v>Discontinued Operations</v>
          </cell>
          <cell r="C88">
            <v>0</v>
          </cell>
          <cell r="D88">
            <v>0</v>
          </cell>
          <cell r="E88">
            <v>0</v>
          </cell>
          <cell r="F88">
            <v>-2</v>
          </cell>
        </row>
        <row r="89">
          <cell r="A89" t="str">
            <v>Total Operations</v>
          </cell>
          <cell r="C89">
            <v>5983</v>
          </cell>
          <cell r="D89">
            <v>6263</v>
          </cell>
          <cell r="E89">
            <v>5998</v>
          </cell>
          <cell r="F89">
            <v>5218</v>
          </cell>
        </row>
        <row r="90">
          <cell r="A90" t="str">
            <v>Total Net Income</v>
          </cell>
          <cell r="C90">
            <v>5979</v>
          </cell>
          <cell r="D90">
            <v>6263</v>
          </cell>
          <cell r="E90">
            <v>5998</v>
          </cell>
          <cell r="F90">
            <v>5218</v>
          </cell>
        </row>
        <row r="91">
          <cell r="A91" t="str">
            <v>Net Profit Margin</v>
          </cell>
          <cell r="C91">
            <v>9.5000000000000001E-2</v>
          </cell>
          <cell r="D91">
            <v>0.17899999999999999</v>
          </cell>
          <cell r="E91">
            <v>0.152</v>
          </cell>
          <cell r="F91">
            <v>0.14699999999999999</v>
          </cell>
        </row>
        <row r="92">
          <cell r="A92" t="str">
            <v>Diluted EPS from Continuing Operations</v>
          </cell>
          <cell r="C92">
            <v>2.71</v>
          </cell>
          <cell r="D92">
            <v>2.94</v>
          </cell>
          <cell r="E92">
            <v>2.95</v>
          </cell>
          <cell r="F92">
            <v>2.5299999999999998</v>
          </cell>
        </row>
        <row r="93">
          <cell r="A93" t="str">
            <v>Diluted EPS from Discontinued Operations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</row>
        <row r="94">
          <cell r="A94" t="str">
            <v>Diluted EPS from Total Operations</v>
          </cell>
          <cell r="C94">
            <v>2.71</v>
          </cell>
          <cell r="D94">
            <v>2.94</v>
          </cell>
          <cell r="E94">
            <v>2.95</v>
          </cell>
          <cell r="F94">
            <v>2.5299999999999998</v>
          </cell>
        </row>
        <row r="95">
          <cell r="A95" t="str">
            <v>Diluted EPS from Total Net Income</v>
          </cell>
          <cell r="C95">
            <v>2.7</v>
          </cell>
          <cell r="D95">
            <v>2.94</v>
          </cell>
          <cell r="E95">
            <v>2.95</v>
          </cell>
          <cell r="F95">
            <v>2.5299999999999998</v>
          </cell>
        </row>
        <row r="96">
          <cell r="A96" t="str">
            <v>Dividends per Share</v>
          </cell>
          <cell r="C96">
            <v>1.52</v>
          </cell>
          <cell r="D96">
            <v>1.34</v>
          </cell>
          <cell r="E96">
            <v>1.69</v>
          </cell>
          <cell r="F96">
            <v>1.54</v>
          </cell>
        </row>
        <row r="97">
          <cell r="A97" t="str">
            <v>Cash</v>
          </cell>
          <cell r="C97">
            <v>316</v>
          </cell>
          <cell r="D97">
            <v>319</v>
          </cell>
          <cell r="E97">
            <v>2462</v>
          </cell>
          <cell r="F97">
            <v>3183</v>
          </cell>
        </row>
        <row r="98">
          <cell r="A98" t="str">
            <v>Net Receivables</v>
          </cell>
          <cell r="C98">
            <v>3596</v>
          </cell>
          <cell r="D98">
            <v>2899</v>
          </cell>
          <cell r="E98">
            <v>3425</v>
          </cell>
          <cell r="F98">
            <v>3189</v>
          </cell>
        </row>
        <row r="99">
          <cell r="A99" t="str">
            <v>Inventories</v>
          </cell>
          <cell r="C99">
            <v>6232</v>
          </cell>
          <cell r="D99">
            <v>5149</v>
          </cell>
          <cell r="E99">
            <v>6217</v>
          </cell>
          <cell r="F99">
            <v>5564</v>
          </cell>
        </row>
        <row r="100">
          <cell r="A100" t="str">
            <v>Other Current Assets</v>
          </cell>
          <cell r="C100">
            <v>1921</v>
          </cell>
          <cell r="D100">
            <v>1472</v>
          </cell>
          <cell r="E100">
            <v>1831</v>
          </cell>
          <cell r="F100">
            <v>2417</v>
          </cell>
        </row>
        <row r="101">
          <cell r="A101" t="str">
            <v>Total Current Assets</v>
          </cell>
          <cell r="C101">
            <v>12066</v>
          </cell>
          <cell r="D101">
            <v>9840</v>
          </cell>
          <cell r="E101">
            <v>13935</v>
          </cell>
          <cell r="F101">
            <v>14353</v>
          </cell>
        </row>
        <row r="102">
          <cell r="A102" t="str">
            <v>Net Fixed Assets</v>
          </cell>
          <cell r="C102">
            <v>10573</v>
          </cell>
          <cell r="D102">
            <v>8376</v>
          </cell>
          <cell r="E102">
            <v>10471</v>
          </cell>
          <cell r="F102">
            <v>9035</v>
          </cell>
        </row>
        <row r="103">
          <cell r="A103" t="str">
            <v>Other Noncurrent Assets</v>
          </cell>
          <cell r="C103">
            <v>36708</v>
          </cell>
          <cell r="D103">
            <v>31172</v>
          </cell>
          <cell r="E103">
            <v>38273</v>
          </cell>
          <cell r="F103">
            <v>32940</v>
          </cell>
        </row>
        <row r="104">
          <cell r="A104" t="str">
            <v>Total Assets</v>
          </cell>
          <cell r="C104">
            <v>59347</v>
          </cell>
          <cell r="D104">
            <v>49387</v>
          </cell>
          <cell r="E104">
            <v>62679</v>
          </cell>
          <cell r="F104">
            <v>56329</v>
          </cell>
        </row>
        <row r="105">
          <cell r="A105" t="str">
            <v>Accounts Payable</v>
          </cell>
          <cell r="C105">
            <v>2514</v>
          </cell>
          <cell r="D105">
            <v>1742</v>
          </cell>
          <cell r="E105">
            <v>2084</v>
          </cell>
          <cell r="F105">
            <v>1921</v>
          </cell>
        </row>
        <row r="106">
          <cell r="A106" t="str">
            <v>Short-Term Debt</v>
          </cell>
          <cell r="C106">
            <v>2410</v>
          </cell>
          <cell r="D106">
            <v>1109</v>
          </cell>
          <cell r="E106">
            <v>2200</v>
          </cell>
          <cell r="F106">
            <v>2381</v>
          </cell>
        </row>
        <row r="107">
          <cell r="A107" t="str">
            <v>Other Current Liabilities</v>
          </cell>
          <cell r="C107">
            <v>9501</v>
          </cell>
          <cell r="D107">
            <v>7915</v>
          </cell>
          <cell r="E107">
            <v>9658</v>
          </cell>
          <cell r="F107">
            <v>8762</v>
          </cell>
        </row>
        <row r="108">
          <cell r="A108" t="str">
            <v>Total Current Liabilities</v>
          </cell>
          <cell r="C108">
            <v>14425</v>
          </cell>
          <cell r="D108">
            <v>10765</v>
          </cell>
          <cell r="E108">
            <v>13942</v>
          </cell>
          <cell r="F108">
            <v>13064</v>
          </cell>
        </row>
        <row r="109">
          <cell r="A109" t="str">
            <v>Long-Term Debt</v>
          </cell>
          <cell r="C109">
            <v>13027</v>
          </cell>
          <cell r="D109">
            <v>12048</v>
          </cell>
          <cell r="E109">
            <v>13792</v>
          </cell>
          <cell r="F109">
            <v>10353</v>
          </cell>
        </row>
        <row r="110">
          <cell r="A110" t="str">
            <v>Other Noncurrent Liabilities</v>
          </cell>
          <cell r="C110">
            <v>8065</v>
          </cell>
          <cell r="D110">
            <v>6559</v>
          </cell>
          <cell r="E110">
            <v>6955</v>
          </cell>
          <cell r="F110">
            <v>5741</v>
          </cell>
        </row>
        <row r="111">
          <cell r="A111" t="str">
            <v>Total Liabilities</v>
          </cell>
          <cell r="C111">
            <v>45643</v>
          </cell>
          <cell r="D111">
            <v>38399</v>
          </cell>
          <cell r="E111">
            <v>46336</v>
          </cell>
          <cell r="F111">
            <v>39308</v>
          </cell>
        </row>
        <row r="112">
          <cell r="A112" t="str">
            <v>Preferred Stock Equity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</row>
        <row r="113">
          <cell r="A113" t="str">
            <v>Common Stock Equity</v>
          </cell>
          <cell r="C113">
            <v>13704</v>
          </cell>
          <cell r="D113">
            <v>10989</v>
          </cell>
          <cell r="E113">
            <v>16343</v>
          </cell>
          <cell r="F113">
            <v>17020</v>
          </cell>
        </row>
        <row r="114">
          <cell r="A114" t="str">
            <v>Total Equity</v>
          </cell>
          <cell r="C114">
            <v>13704</v>
          </cell>
          <cell r="D114">
            <v>10989</v>
          </cell>
          <cell r="E114">
            <v>16343</v>
          </cell>
          <cell r="F114">
            <v>17020</v>
          </cell>
        </row>
        <row r="115">
          <cell r="A115" t="str">
            <v>Shares Outstanding (mil.)</v>
          </cell>
          <cell r="C115">
            <v>1503.4</v>
          </cell>
          <cell r="D115">
            <v>1150.5</v>
          </cell>
          <cell r="E115">
            <v>1327.7</v>
          </cell>
          <cell r="F115">
            <v>1141.3</v>
          </cell>
        </row>
        <row r="116">
          <cell r="A116" t="str">
            <v>Net Operating Cash Flow</v>
          </cell>
          <cell r="C116">
            <v>6211</v>
          </cell>
          <cell r="D116">
            <v>5987</v>
          </cell>
          <cell r="E116">
            <v>7049</v>
          </cell>
          <cell r="F116">
            <v>6035</v>
          </cell>
        </row>
        <row r="117">
          <cell r="A117" t="str">
            <v>Net Investing Cash Flow</v>
          </cell>
          <cell r="C117">
            <v>-2037</v>
          </cell>
          <cell r="D117">
            <v>-1394</v>
          </cell>
          <cell r="E117">
            <v>-1582</v>
          </cell>
          <cell r="F117">
            <v>-785</v>
          </cell>
        </row>
        <row r="118">
          <cell r="A118" t="str">
            <v>Net Financing Cash Flow</v>
          </cell>
          <cell r="C118">
            <v>-4498</v>
          </cell>
          <cell r="D118">
            <v>-4606</v>
          </cell>
          <cell r="E118">
            <v>-3558</v>
          </cell>
          <cell r="F118">
            <v>-4423</v>
          </cell>
        </row>
        <row r="119">
          <cell r="A119" t="str">
            <v>Net Change in Cash</v>
          </cell>
          <cell r="C119">
            <v>-338</v>
          </cell>
          <cell r="D119">
            <v>63</v>
          </cell>
          <cell r="E119">
            <v>2093</v>
          </cell>
          <cell r="F119">
            <v>1090</v>
          </cell>
        </row>
        <row r="120">
          <cell r="A120" t="str">
            <v>Depreciation &amp; Amortization</v>
          </cell>
          <cell r="C120">
            <v>1632</v>
          </cell>
          <cell r="D120">
            <v>751</v>
          </cell>
          <cell r="E120">
            <v>938</v>
          </cell>
          <cell r="F120">
            <v>891</v>
          </cell>
        </row>
        <row r="121">
          <cell r="A121" t="str">
            <v>Capital Expenditures</v>
          </cell>
          <cell r="C121">
            <v>-1657</v>
          </cell>
          <cell r="D121">
            <v>-1216</v>
          </cell>
          <cell r="E121">
            <v>-1965</v>
          </cell>
          <cell r="F121">
            <v>-1159</v>
          </cell>
        </row>
        <row r="122">
          <cell r="A122" t="str">
            <v>Cash Dividends Paid</v>
          </cell>
          <cell r="C122">
            <v>-3331</v>
          </cell>
          <cell r="D122">
            <v>-2859</v>
          </cell>
          <cell r="E122">
            <v>-3444</v>
          </cell>
          <cell r="F122">
            <v>-3143</v>
          </cell>
        </row>
        <row r="124">
          <cell r="A124" t="str">
            <v>Industry Revenue</v>
          </cell>
          <cell r="C124">
            <v>111003.2</v>
          </cell>
          <cell r="D124">
            <v>85946.8</v>
          </cell>
          <cell r="E124">
            <v>87623.3</v>
          </cell>
          <cell r="F124">
            <v>93242</v>
          </cell>
        </row>
        <row r="125">
          <cell r="A125" t="str">
            <v>Industry Net Income After Taxes</v>
          </cell>
          <cell r="C125">
            <v>10702.5</v>
          </cell>
          <cell r="D125">
            <v>12636</v>
          </cell>
          <cell r="E125">
            <v>7359.2</v>
          </cell>
          <cell r="F125">
            <v>11444.2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ampus Dashboard"/>
      <sheetName val="Campus Data"/>
      <sheetName val="Traffic Light Decision Rules"/>
      <sheetName val="StopLights"/>
      <sheetName val="Planned Headcount Enrollment"/>
      <sheetName val="Actual Headcount Enrollment"/>
      <sheetName val="Planned AFTE"/>
      <sheetName val="Actual AFTE"/>
      <sheetName val="Selectivity"/>
      <sheetName val="Non-Resident Enollment"/>
      <sheetName val="First Year Retention"/>
      <sheetName val="Transfer Retention"/>
      <sheetName val="Grad Rates"/>
      <sheetName val="Transfer Grad Rate"/>
      <sheetName val="Planned Revenue"/>
      <sheetName val="Actual Revenue"/>
      <sheetName val="Debt Service % of Revenue"/>
      <sheetName val="Research Foundation"/>
      <sheetName val="Fundraising"/>
    </sheetNames>
    <sheetDataSet>
      <sheetData sheetId="0"/>
      <sheetData sheetId="1">
        <row r="10">
          <cell r="D10">
            <v>3</v>
          </cell>
          <cell r="E10">
            <v>2</v>
          </cell>
          <cell r="F10">
            <v>1</v>
          </cell>
          <cell r="G10">
            <v>3</v>
          </cell>
          <cell r="H10">
            <v>3</v>
          </cell>
        </row>
        <row r="15">
          <cell r="D15">
            <v>3</v>
          </cell>
          <cell r="E15">
            <v>2</v>
          </cell>
          <cell r="F15">
            <v>2</v>
          </cell>
          <cell r="G15">
            <v>3</v>
          </cell>
          <cell r="H15">
            <v>3</v>
          </cell>
        </row>
        <row r="18">
          <cell r="D18">
            <v>1</v>
          </cell>
          <cell r="E18">
            <v>2</v>
          </cell>
          <cell r="F18">
            <v>2</v>
          </cell>
          <cell r="G18">
            <v>1</v>
          </cell>
          <cell r="H18">
            <v>2</v>
          </cell>
        </row>
        <row r="22">
          <cell r="D22">
            <v>3</v>
          </cell>
          <cell r="E22">
            <v>3</v>
          </cell>
          <cell r="F22">
            <v>3</v>
          </cell>
          <cell r="G22">
            <v>3</v>
          </cell>
          <cell r="H22">
            <v>3</v>
          </cell>
        </row>
        <row r="25">
          <cell r="D25">
            <v>3</v>
          </cell>
          <cell r="E25">
            <v>3</v>
          </cell>
          <cell r="F25">
            <v>3</v>
          </cell>
          <cell r="G25">
            <v>3</v>
          </cell>
          <cell r="H25">
            <v>3</v>
          </cell>
        </row>
        <row r="28">
          <cell r="D28">
            <v>3</v>
          </cell>
          <cell r="E28">
            <v>3</v>
          </cell>
          <cell r="F28">
            <v>3</v>
          </cell>
          <cell r="G28">
            <v>3</v>
          </cell>
          <cell r="H28">
            <v>3</v>
          </cell>
        </row>
        <row r="31">
          <cell r="D31">
            <v>3</v>
          </cell>
          <cell r="E31">
            <v>3</v>
          </cell>
          <cell r="F31">
            <v>3</v>
          </cell>
          <cell r="G31">
            <v>3</v>
          </cell>
          <cell r="H31">
            <v>3</v>
          </cell>
        </row>
        <row r="34">
          <cell r="D34">
            <v>3</v>
          </cell>
          <cell r="E34">
            <v>3</v>
          </cell>
          <cell r="F34">
            <v>3</v>
          </cell>
          <cell r="G34">
            <v>3</v>
          </cell>
          <cell r="H34">
            <v>3</v>
          </cell>
        </row>
        <row r="39">
          <cell r="D39">
            <v>3</v>
          </cell>
          <cell r="E39">
            <v>3</v>
          </cell>
          <cell r="F39">
            <v>3</v>
          </cell>
          <cell r="G39">
            <v>2</v>
          </cell>
          <cell r="H39">
            <v>3</v>
          </cell>
        </row>
        <row r="44">
          <cell r="D44">
            <v>3</v>
          </cell>
          <cell r="E44">
            <v>3</v>
          </cell>
          <cell r="F44">
            <v>3</v>
          </cell>
          <cell r="G44">
            <v>3</v>
          </cell>
          <cell r="H44">
            <v>3</v>
          </cell>
        </row>
        <row r="47">
          <cell r="D47">
            <v>3</v>
          </cell>
          <cell r="E47">
            <v>3</v>
          </cell>
          <cell r="F47">
            <v>3</v>
          </cell>
          <cell r="G47">
            <v>3</v>
          </cell>
          <cell r="H47">
            <v>2</v>
          </cell>
        </row>
        <row r="50">
          <cell r="D50">
            <v>3</v>
          </cell>
          <cell r="E50">
            <v>3</v>
          </cell>
          <cell r="F50">
            <v>3</v>
          </cell>
          <cell r="G50">
            <v>1</v>
          </cell>
          <cell r="H50">
            <v>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N38"/>
  <sheetViews>
    <sheetView tabSelected="1" view="pageBreakPreview" zoomScale="136" zoomScaleNormal="100" zoomScaleSheetLayoutView="136" workbookViewId="0">
      <selection activeCell="K9" sqref="K9"/>
    </sheetView>
  </sheetViews>
  <sheetFormatPr defaultRowHeight="11.25"/>
  <cols>
    <col min="1" max="1" width="0.85546875" style="97" customWidth="1"/>
    <col min="2" max="2" width="1.140625" style="97" customWidth="1"/>
    <col min="3" max="3" width="32.42578125" style="87" customWidth="1"/>
    <col min="4" max="4" width="0.85546875" style="97" customWidth="1"/>
    <col min="5" max="5" width="32.42578125" style="87" customWidth="1"/>
    <col min="6" max="6" width="0.85546875" style="97" customWidth="1"/>
    <col min="7" max="7" width="32.42578125" style="87" customWidth="1"/>
    <col min="8" max="8" width="1.42578125" style="97" customWidth="1"/>
    <col min="9" max="9" width="0.85546875" style="106" customWidth="1"/>
    <col min="10" max="10" width="4.85546875" style="106" customWidth="1"/>
    <col min="11" max="256" width="9.140625" style="87"/>
    <col min="257" max="257" width="0.85546875" style="87" customWidth="1"/>
    <col min="258" max="258" width="1.140625" style="87" customWidth="1"/>
    <col min="259" max="259" width="32.42578125" style="87" customWidth="1"/>
    <col min="260" max="260" width="0.85546875" style="87" customWidth="1"/>
    <col min="261" max="261" width="32.42578125" style="87" customWidth="1"/>
    <col min="262" max="262" width="0.85546875" style="87" customWidth="1"/>
    <col min="263" max="263" width="32.42578125" style="87" customWidth="1"/>
    <col min="264" max="264" width="1.42578125" style="87" customWidth="1"/>
    <col min="265" max="265" width="0.85546875" style="87" customWidth="1"/>
    <col min="266" max="512" width="9.140625" style="87"/>
    <col min="513" max="513" width="0.85546875" style="87" customWidth="1"/>
    <col min="514" max="514" width="1.140625" style="87" customWidth="1"/>
    <col min="515" max="515" width="32.42578125" style="87" customWidth="1"/>
    <col min="516" max="516" width="0.85546875" style="87" customWidth="1"/>
    <col min="517" max="517" width="32.42578125" style="87" customWidth="1"/>
    <col min="518" max="518" width="0.85546875" style="87" customWidth="1"/>
    <col min="519" max="519" width="32.42578125" style="87" customWidth="1"/>
    <col min="520" max="520" width="1.42578125" style="87" customWidth="1"/>
    <col min="521" max="521" width="0.85546875" style="87" customWidth="1"/>
    <col min="522" max="768" width="9.140625" style="87"/>
    <col min="769" max="769" width="0.85546875" style="87" customWidth="1"/>
    <col min="770" max="770" width="1.140625" style="87" customWidth="1"/>
    <col min="771" max="771" width="32.42578125" style="87" customWidth="1"/>
    <col min="772" max="772" width="0.85546875" style="87" customWidth="1"/>
    <col min="773" max="773" width="32.42578125" style="87" customWidth="1"/>
    <col min="774" max="774" width="0.85546875" style="87" customWidth="1"/>
    <col min="775" max="775" width="32.42578125" style="87" customWidth="1"/>
    <col min="776" max="776" width="1.42578125" style="87" customWidth="1"/>
    <col min="777" max="777" width="0.85546875" style="87" customWidth="1"/>
    <col min="778" max="1024" width="9.140625" style="87"/>
    <col min="1025" max="1025" width="0.85546875" style="87" customWidth="1"/>
    <col min="1026" max="1026" width="1.140625" style="87" customWidth="1"/>
    <col min="1027" max="1027" width="32.42578125" style="87" customWidth="1"/>
    <col min="1028" max="1028" width="0.85546875" style="87" customWidth="1"/>
    <col min="1029" max="1029" width="32.42578125" style="87" customWidth="1"/>
    <col min="1030" max="1030" width="0.85546875" style="87" customWidth="1"/>
    <col min="1031" max="1031" width="32.42578125" style="87" customWidth="1"/>
    <col min="1032" max="1032" width="1.42578125" style="87" customWidth="1"/>
    <col min="1033" max="1033" width="0.85546875" style="87" customWidth="1"/>
    <col min="1034" max="1280" width="9.140625" style="87"/>
    <col min="1281" max="1281" width="0.85546875" style="87" customWidth="1"/>
    <col min="1282" max="1282" width="1.140625" style="87" customWidth="1"/>
    <col min="1283" max="1283" width="32.42578125" style="87" customWidth="1"/>
    <col min="1284" max="1284" width="0.85546875" style="87" customWidth="1"/>
    <col min="1285" max="1285" width="32.42578125" style="87" customWidth="1"/>
    <col min="1286" max="1286" width="0.85546875" style="87" customWidth="1"/>
    <col min="1287" max="1287" width="32.42578125" style="87" customWidth="1"/>
    <col min="1288" max="1288" width="1.42578125" style="87" customWidth="1"/>
    <col min="1289" max="1289" width="0.85546875" style="87" customWidth="1"/>
    <col min="1290" max="1536" width="9.140625" style="87"/>
    <col min="1537" max="1537" width="0.85546875" style="87" customWidth="1"/>
    <col min="1538" max="1538" width="1.140625" style="87" customWidth="1"/>
    <col min="1539" max="1539" width="32.42578125" style="87" customWidth="1"/>
    <col min="1540" max="1540" width="0.85546875" style="87" customWidth="1"/>
    <col min="1541" max="1541" width="32.42578125" style="87" customWidth="1"/>
    <col min="1542" max="1542" width="0.85546875" style="87" customWidth="1"/>
    <col min="1543" max="1543" width="32.42578125" style="87" customWidth="1"/>
    <col min="1544" max="1544" width="1.42578125" style="87" customWidth="1"/>
    <col min="1545" max="1545" width="0.85546875" style="87" customWidth="1"/>
    <col min="1546" max="1792" width="9.140625" style="87"/>
    <col min="1793" max="1793" width="0.85546875" style="87" customWidth="1"/>
    <col min="1794" max="1794" width="1.140625" style="87" customWidth="1"/>
    <col min="1795" max="1795" width="32.42578125" style="87" customWidth="1"/>
    <col min="1796" max="1796" width="0.85546875" style="87" customWidth="1"/>
    <col min="1797" max="1797" width="32.42578125" style="87" customWidth="1"/>
    <col min="1798" max="1798" width="0.85546875" style="87" customWidth="1"/>
    <col min="1799" max="1799" width="32.42578125" style="87" customWidth="1"/>
    <col min="1800" max="1800" width="1.42578125" style="87" customWidth="1"/>
    <col min="1801" max="1801" width="0.85546875" style="87" customWidth="1"/>
    <col min="1802" max="2048" width="9.140625" style="87"/>
    <col min="2049" max="2049" width="0.85546875" style="87" customWidth="1"/>
    <col min="2050" max="2050" width="1.140625" style="87" customWidth="1"/>
    <col min="2051" max="2051" width="32.42578125" style="87" customWidth="1"/>
    <col min="2052" max="2052" width="0.85546875" style="87" customWidth="1"/>
    <col min="2053" max="2053" width="32.42578125" style="87" customWidth="1"/>
    <col min="2054" max="2054" width="0.85546875" style="87" customWidth="1"/>
    <col min="2055" max="2055" width="32.42578125" style="87" customWidth="1"/>
    <col min="2056" max="2056" width="1.42578125" style="87" customWidth="1"/>
    <col min="2057" max="2057" width="0.85546875" style="87" customWidth="1"/>
    <col min="2058" max="2304" width="9.140625" style="87"/>
    <col min="2305" max="2305" width="0.85546875" style="87" customWidth="1"/>
    <col min="2306" max="2306" width="1.140625" style="87" customWidth="1"/>
    <col min="2307" max="2307" width="32.42578125" style="87" customWidth="1"/>
    <col min="2308" max="2308" width="0.85546875" style="87" customWidth="1"/>
    <col min="2309" max="2309" width="32.42578125" style="87" customWidth="1"/>
    <col min="2310" max="2310" width="0.85546875" style="87" customWidth="1"/>
    <col min="2311" max="2311" width="32.42578125" style="87" customWidth="1"/>
    <col min="2312" max="2312" width="1.42578125" style="87" customWidth="1"/>
    <col min="2313" max="2313" width="0.85546875" style="87" customWidth="1"/>
    <col min="2314" max="2560" width="9.140625" style="87"/>
    <col min="2561" max="2561" width="0.85546875" style="87" customWidth="1"/>
    <col min="2562" max="2562" width="1.140625" style="87" customWidth="1"/>
    <col min="2563" max="2563" width="32.42578125" style="87" customWidth="1"/>
    <col min="2564" max="2564" width="0.85546875" style="87" customWidth="1"/>
    <col min="2565" max="2565" width="32.42578125" style="87" customWidth="1"/>
    <col min="2566" max="2566" width="0.85546875" style="87" customWidth="1"/>
    <col min="2567" max="2567" width="32.42578125" style="87" customWidth="1"/>
    <col min="2568" max="2568" width="1.42578125" style="87" customWidth="1"/>
    <col min="2569" max="2569" width="0.85546875" style="87" customWidth="1"/>
    <col min="2570" max="2816" width="9.140625" style="87"/>
    <col min="2817" max="2817" width="0.85546875" style="87" customWidth="1"/>
    <col min="2818" max="2818" width="1.140625" style="87" customWidth="1"/>
    <col min="2819" max="2819" width="32.42578125" style="87" customWidth="1"/>
    <col min="2820" max="2820" width="0.85546875" style="87" customWidth="1"/>
    <col min="2821" max="2821" width="32.42578125" style="87" customWidth="1"/>
    <col min="2822" max="2822" width="0.85546875" style="87" customWidth="1"/>
    <col min="2823" max="2823" width="32.42578125" style="87" customWidth="1"/>
    <col min="2824" max="2824" width="1.42578125" style="87" customWidth="1"/>
    <col min="2825" max="2825" width="0.85546875" style="87" customWidth="1"/>
    <col min="2826" max="3072" width="9.140625" style="87"/>
    <col min="3073" max="3073" width="0.85546875" style="87" customWidth="1"/>
    <col min="3074" max="3074" width="1.140625" style="87" customWidth="1"/>
    <col min="3075" max="3075" width="32.42578125" style="87" customWidth="1"/>
    <col min="3076" max="3076" width="0.85546875" style="87" customWidth="1"/>
    <col min="3077" max="3077" width="32.42578125" style="87" customWidth="1"/>
    <col min="3078" max="3078" width="0.85546875" style="87" customWidth="1"/>
    <col min="3079" max="3079" width="32.42578125" style="87" customWidth="1"/>
    <col min="3080" max="3080" width="1.42578125" style="87" customWidth="1"/>
    <col min="3081" max="3081" width="0.85546875" style="87" customWidth="1"/>
    <col min="3082" max="3328" width="9.140625" style="87"/>
    <col min="3329" max="3329" width="0.85546875" style="87" customWidth="1"/>
    <col min="3330" max="3330" width="1.140625" style="87" customWidth="1"/>
    <col min="3331" max="3331" width="32.42578125" style="87" customWidth="1"/>
    <col min="3332" max="3332" width="0.85546875" style="87" customWidth="1"/>
    <col min="3333" max="3333" width="32.42578125" style="87" customWidth="1"/>
    <col min="3334" max="3334" width="0.85546875" style="87" customWidth="1"/>
    <col min="3335" max="3335" width="32.42578125" style="87" customWidth="1"/>
    <col min="3336" max="3336" width="1.42578125" style="87" customWidth="1"/>
    <col min="3337" max="3337" width="0.85546875" style="87" customWidth="1"/>
    <col min="3338" max="3584" width="9.140625" style="87"/>
    <col min="3585" max="3585" width="0.85546875" style="87" customWidth="1"/>
    <col min="3586" max="3586" width="1.140625" style="87" customWidth="1"/>
    <col min="3587" max="3587" width="32.42578125" style="87" customWidth="1"/>
    <col min="3588" max="3588" width="0.85546875" style="87" customWidth="1"/>
    <col min="3589" max="3589" width="32.42578125" style="87" customWidth="1"/>
    <col min="3590" max="3590" width="0.85546875" style="87" customWidth="1"/>
    <col min="3591" max="3591" width="32.42578125" style="87" customWidth="1"/>
    <col min="3592" max="3592" width="1.42578125" style="87" customWidth="1"/>
    <col min="3593" max="3593" width="0.85546875" style="87" customWidth="1"/>
    <col min="3594" max="3840" width="9.140625" style="87"/>
    <col min="3841" max="3841" width="0.85546875" style="87" customWidth="1"/>
    <col min="3842" max="3842" width="1.140625" style="87" customWidth="1"/>
    <col min="3843" max="3843" width="32.42578125" style="87" customWidth="1"/>
    <col min="3844" max="3844" width="0.85546875" style="87" customWidth="1"/>
    <col min="3845" max="3845" width="32.42578125" style="87" customWidth="1"/>
    <col min="3846" max="3846" width="0.85546875" style="87" customWidth="1"/>
    <col min="3847" max="3847" width="32.42578125" style="87" customWidth="1"/>
    <col min="3848" max="3848" width="1.42578125" style="87" customWidth="1"/>
    <col min="3849" max="3849" width="0.85546875" style="87" customWidth="1"/>
    <col min="3850" max="4096" width="9.140625" style="87"/>
    <col min="4097" max="4097" width="0.85546875" style="87" customWidth="1"/>
    <col min="4098" max="4098" width="1.140625" style="87" customWidth="1"/>
    <col min="4099" max="4099" width="32.42578125" style="87" customWidth="1"/>
    <col min="4100" max="4100" width="0.85546875" style="87" customWidth="1"/>
    <col min="4101" max="4101" width="32.42578125" style="87" customWidth="1"/>
    <col min="4102" max="4102" width="0.85546875" style="87" customWidth="1"/>
    <col min="4103" max="4103" width="32.42578125" style="87" customWidth="1"/>
    <col min="4104" max="4104" width="1.42578125" style="87" customWidth="1"/>
    <col min="4105" max="4105" width="0.85546875" style="87" customWidth="1"/>
    <col min="4106" max="4352" width="9.140625" style="87"/>
    <col min="4353" max="4353" width="0.85546875" style="87" customWidth="1"/>
    <col min="4354" max="4354" width="1.140625" style="87" customWidth="1"/>
    <col min="4355" max="4355" width="32.42578125" style="87" customWidth="1"/>
    <col min="4356" max="4356" width="0.85546875" style="87" customWidth="1"/>
    <col min="4357" max="4357" width="32.42578125" style="87" customWidth="1"/>
    <col min="4358" max="4358" width="0.85546875" style="87" customWidth="1"/>
    <col min="4359" max="4359" width="32.42578125" style="87" customWidth="1"/>
    <col min="4360" max="4360" width="1.42578125" style="87" customWidth="1"/>
    <col min="4361" max="4361" width="0.85546875" style="87" customWidth="1"/>
    <col min="4362" max="4608" width="9.140625" style="87"/>
    <col min="4609" max="4609" width="0.85546875" style="87" customWidth="1"/>
    <col min="4610" max="4610" width="1.140625" style="87" customWidth="1"/>
    <col min="4611" max="4611" width="32.42578125" style="87" customWidth="1"/>
    <col min="4612" max="4612" width="0.85546875" style="87" customWidth="1"/>
    <col min="4613" max="4613" width="32.42578125" style="87" customWidth="1"/>
    <col min="4614" max="4614" width="0.85546875" style="87" customWidth="1"/>
    <col min="4615" max="4615" width="32.42578125" style="87" customWidth="1"/>
    <col min="4616" max="4616" width="1.42578125" style="87" customWidth="1"/>
    <col min="4617" max="4617" width="0.85546875" style="87" customWidth="1"/>
    <col min="4618" max="4864" width="9.140625" style="87"/>
    <col min="4865" max="4865" width="0.85546875" style="87" customWidth="1"/>
    <col min="4866" max="4866" width="1.140625" style="87" customWidth="1"/>
    <col min="4867" max="4867" width="32.42578125" style="87" customWidth="1"/>
    <col min="4868" max="4868" width="0.85546875" style="87" customWidth="1"/>
    <col min="4869" max="4869" width="32.42578125" style="87" customWidth="1"/>
    <col min="4870" max="4870" width="0.85546875" style="87" customWidth="1"/>
    <col min="4871" max="4871" width="32.42578125" style="87" customWidth="1"/>
    <col min="4872" max="4872" width="1.42578125" style="87" customWidth="1"/>
    <col min="4873" max="4873" width="0.85546875" style="87" customWidth="1"/>
    <col min="4874" max="5120" width="9.140625" style="87"/>
    <col min="5121" max="5121" width="0.85546875" style="87" customWidth="1"/>
    <col min="5122" max="5122" width="1.140625" style="87" customWidth="1"/>
    <col min="5123" max="5123" width="32.42578125" style="87" customWidth="1"/>
    <col min="5124" max="5124" width="0.85546875" style="87" customWidth="1"/>
    <col min="5125" max="5125" width="32.42578125" style="87" customWidth="1"/>
    <col min="5126" max="5126" width="0.85546875" style="87" customWidth="1"/>
    <col min="5127" max="5127" width="32.42578125" style="87" customWidth="1"/>
    <col min="5128" max="5128" width="1.42578125" style="87" customWidth="1"/>
    <col min="5129" max="5129" width="0.85546875" style="87" customWidth="1"/>
    <col min="5130" max="5376" width="9.140625" style="87"/>
    <col min="5377" max="5377" width="0.85546875" style="87" customWidth="1"/>
    <col min="5378" max="5378" width="1.140625" style="87" customWidth="1"/>
    <col min="5379" max="5379" width="32.42578125" style="87" customWidth="1"/>
    <col min="5380" max="5380" width="0.85546875" style="87" customWidth="1"/>
    <col min="5381" max="5381" width="32.42578125" style="87" customWidth="1"/>
    <col min="5382" max="5382" width="0.85546875" style="87" customWidth="1"/>
    <col min="5383" max="5383" width="32.42578125" style="87" customWidth="1"/>
    <col min="5384" max="5384" width="1.42578125" style="87" customWidth="1"/>
    <col min="5385" max="5385" width="0.85546875" style="87" customWidth="1"/>
    <col min="5386" max="5632" width="9.140625" style="87"/>
    <col min="5633" max="5633" width="0.85546875" style="87" customWidth="1"/>
    <col min="5634" max="5634" width="1.140625" style="87" customWidth="1"/>
    <col min="5635" max="5635" width="32.42578125" style="87" customWidth="1"/>
    <col min="5636" max="5636" width="0.85546875" style="87" customWidth="1"/>
    <col min="5637" max="5637" width="32.42578125" style="87" customWidth="1"/>
    <col min="5638" max="5638" width="0.85546875" style="87" customWidth="1"/>
    <col min="5639" max="5639" width="32.42578125" style="87" customWidth="1"/>
    <col min="5640" max="5640" width="1.42578125" style="87" customWidth="1"/>
    <col min="5641" max="5641" width="0.85546875" style="87" customWidth="1"/>
    <col min="5642" max="5888" width="9.140625" style="87"/>
    <col min="5889" max="5889" width="0.85546875" style="87" customWidth="1"/>
    <col min="5890" max="5890" width="1.140625" style="87" customWidth="1"/>
    <col min="5891" max="5891" width="32.42578125" style="87" customWidth="1"/>
    <col min="5892" max="5892" width="0.85546875" style="87" customWidth="1"/>
    <col min="5893" max="5893" width="32.42578125" style="87" customWidth="1"/>
    <col min="5894" max="5894" width="0.85546875" style="87" customWidth="1"/>
    <col min="5895" max="5895" width="32.42578125" style="87" customWidth="1"/>
    <col min="5896" max="5896" width="1.42578125" style="87" customWidth="1"/>
    <col min="5897" max="5897" width="0.85546875" style="87" customWidth="1"/>
    <col min="5898" max="6144" width="9.140625" style="87"/>
    <col min="6145" max="6145" width="0.85546875" style="87" customWidth="1"/>
    <col min="6146" max="6146" width="1.140625" style="87" customWidth="1"/>
    <col min="6147" max="6147" width="32.42578125" style="87" customWidth="1"/>
    <col min="6148" max="6148" width="0.85546875" style="87" customWidth="1"/>
    <col min="6149" max="6149" width="32.42578125" style="87" customWidth="1"/>
    <col min="6150" max="6150" width="0.85546875" style="87" customWidth="1"/>
    <col min="6151" max="6151" width="32.42578125" style="87" customWidth="1"/>
    <col min="6152" max="6152" width="1.42578125" style="87" customWidth="1"/>
    <col min="6153" max="6153" width="0.85546875" style="87" customWidth="1"/>
    <col min="6154" max="6400" width="9.140625" style="87"/>
    <col min="6401" max="6401" width="0.85546875" style="87" customWidth="1"/>
    <col min="6402" max="6402" width="1.140625" style="87" customWidth="1"/>
    <col min="6403" max="6403" width="32.42578125" style="87" customWidth="1"/>
    <col min="6404" max="6404" width="0.85546875" style="87" customWidth="1"/>
    <col min="6405" max="6405" width="32.42578125" style="87" customWidth="1"/>
    <col min="6406" max="6406" width="0.85546875" style="87" customWidth="1"/>
    <col min="6407" max="6407" width="32.42578125" style="87" customWidth="1"/>
    <col min="6408" max="6408" width="1.42578125" style="87" customWidth="1"/>
    <col min="6409" max="6409" width="0.85546875" style="87" customWidth="1"/>
    <col min="6410" max="6656" width="9.140625" style="87"/>
    <col min="6657" max="6657" width="0.85546875" style="87" customWidth="1"/>
    <col min="6658" max="6658" width="1.140625" style="87" customWidth="1"/>
    <col min="6659" max="6659" width="32.42578125" style="87" customWidth="1"/>
    <col min="6660" max="6660" width="0.85546875" style="87" customWidth="1"/>
    <col min="6661" max="6661" width="32.42578125" style="87" customWidth="1"/>
    <col min="6662" max="6662" width="0.85546875" style="87" customWidth="1"/>
    <col min="6663" max="6663" width="32.42578125" style="87" customWidth="1"/>
    <col min="6664" max="6664" width="1.42578125" style="87" customWidth="1"/>
    <col min="6665" max="6665" width="0.85546875" style="87" customWidth="1"/>
    <col min="6666" max="6912" width="9.140625" style="87"/>
    <col min="6913" max="6913" width="0.85546875" style="87" customWidth="1"/>
    <col min="6914" max="6914" width="1.140625" style="87" customWidth="1"/>
    <col min="6915" max="6915" width="32.42578125" style="87" customWidth="1"/>
    <col min="6916" max="6916" width="0.85546875" style="87" customWidth="1"/>
    <col min="6917" max="6917" width="32.42578125" style="87" customWidth="1"/>
    <col min="6918" max="6918" width="0.85546875" style="87" customWidth="1"/>
    <col min="6919" max="6919" width="32.42578125" style="87" customWidth="1"/>
    <col min="6920" max="6920" width="1.42578125" style="87" customWidth="1"/>
    <col min="6921" max="6921" width="0.85546875" style="87" customWidth="1"/>
    <col min="6922" max="7168" width="9.140625" style="87"/>
    <col min="7169" max="7169" width="0.85546875" style="87" customWidth="1"/>
    <col min="7170" max="7170" width="1.140625" style="87" customWidth="1"/>
    <col min="7171" max="7171" width="32.42578125" style="87" customWidth="1"/>
    <col min="7172" max="7172" width="0.85546875" style="87" customWidth="1"/>
    <col min="7173" max="7173" width="32.42578125" style="87" customWidth="1"/>
    <col min="7174" max="7174" width="0.85546875" style="87" customWidth="1"/>
    <col min="7175" max="7175" width="32.42578125" style="87" customWidth="1"/>
    <col min="7176" max="7176" width="1.42578125" style="87" customWidth="1"/>
    <col min="7177" max="7177" width="0.85546875" style="87" customWidth="1"/>
    <col min="7178" max="7424" width="9.140625" style="87"/>
    <col min="7425" max="7425" width="0.85546875" style="87" customWidth="1"/>
    <col min="7426" max="7426" width="1.140625" style="87" customWidth="1"/>
    <col min="7427" max="7427" width="32.42578125" style="87" customWidth="1"/>
    <col min="7428" max="7428" width="0.85546875" style="87" customWidth="1"/>
    <col min="7429" max="7429" width="32.42578125" style="87" customWidth="1"/>
    <col min="7430" max="7430" width="0.85546875" style="87" customWidth="1"/>
    <col min="7431" max="7431" width="32.42578125" style="87" customWidth="1"/>
    <col min="7432" max="7432" width="1.42578125" style="87" customWidth="1"/>
    <col min="7433" max="7433" width="0.85546875" style="87" customWidth="1"/>
    <col min="7434" max="7680" width="9.140625" style="87"/>
    <col min="7681" max="7681" width="0.85546875" style="87" customWidth="1"/>
    <col min="7682" max="7682" width="1.140625" style="87" customWidth="1"/>
    <col min="7683" max="7683" width="32.42578125" style="87" customWidth="1"/>
    <col min="7684" max="7684" width="0.85546875" style="87" customWidth="1"/>
    <col min="7685" max="7685" width="32.42578125" style="87" customWidth="1"/>
    <col min="7686" max="7686" width="0.85546875" style="87" customWidth="1"/>
    <col min="7687" max="7687" width="32.42578125" style="87" customWidth="1"/>
    <col min="7688" max="7688" width="1.42578125" style="87" customWidth="1"/>
    <col min="7689" max="7689" width="0.85546875" style="87" customWidth="1"/>
    <col min="7690" max="7936" width="9.140625" style="87"/>
    <col min="7937" max="7937" width="0.85546875" style="87" customWidth="1"/>
    <col min="7938" max="7938" width="1.140625" style="87" customWidth="1"/>
    <col min="7939" max="7939" width="32.42578125" style="87" customWidth="1"/>
    <col min="7940" max="7940" width="0.85546875" style="87" customWidth="1"/>
    <col min="7941" max="7941" width="32.42578125" style="87" customWidth="1"/>
    <col min="7942" max="7942" width="0.85546875" style="87" customWidth="1"/>
    <col min="7943" max="7943" width="32.42578125" style="87" customWidth="1"/>
    <col min="7944" max="7944" width="1.42578125" style="87" customWidth="1"/>
    <col min="7945" max="7945" width="0.85546875" style="87" customWidth="1"/>
    <col min="7946" max="8192" width="9.140625" style="87"/>
    <col min="8193" max="8193" width="0.85546875" style="87" customWidth="1"/>
    <col min="8194" max="8194" width="1.140625" style="87" customWidth="1"/>
    <col min="8195" max="8195" width="32.42578125" style="87" customWidth="1"/>
    <col min="8196" max="8196" width="0.85546875" style="87" customWidth="1"/>
    <col min="8197" max="8197" width="32.42578125" style="87" customWidth="1"/>
    <col min="8198" max="8198" width="0.85546875" style="87" customWidth="1"/>
    <col min="8199" max="8199" width="32.42578125" style="87" customWidth="1"/>
    <col min="8200" max="8200" width="1.42578125" style="87" customWidth="1"/>
    <col min="8201" max="8201" width="0.85546875" style="87" customWidth="1"/>
    <col min="8202" max="8448" width="9.140625" style="87"/>
    <col min="8449" max="8449" width="0.85546875" style="87" customWidth="1"/>
    <col min="8450" max="8450" width="1.140625" style="87" customWidth="1"/>
    <col min="8451" max="8451" width="32.42578125" style="87" customWidth="1"/>
    <col min="8452" max="8452" width="0.85546875" style="87" customWidth="1"/>
    <col min="8453" max="8453" width="32.42578125" style="87" customWidth="1"/>
    <col min="8454" max="8454" width="0.85546875" style="87" customWidth="1"/>
    <col min="8455" max="8455" width="32.42578125" style="87" customWidth="1"/>
    <col min="8456" max="8456" width="1.42578125" style="87" customWidth="1"/>
    <col min="8457" max="8457" width="0.85546875" style="87" customWidth="1"/>
    <col min="8458" max="8704" width="9.140625" style="87"/>
    <col min="8705" max="8705" width="0.85546875" style="87" customWidth="1"/>
    <col min="8706" max="8706" width="1.140625" style="87" customWidth="1"/>
    <col min="8707" max="8707" width="32.42578125" style="87" customWidth="1"/>
    <col min="8708" max="8708" width="0.85546875" style="87" customWidth="1"/>
    <col min="8709" max="8709" width="32.42578125" style="87" customWidth="1"/>
    <col min="8710" max="8710" width="0.85546875" style="87" customWidth="1"/>
    <col min="8711" max="8711" width="32.42578125" style="87" customWidth="1"/>
    <col min="8712" max="8712" width="1.42578125" style="87" customWidth="1"/>
    <col min="8713" max="8713" width="0.85546875" style="87" customWidth="1"/>
    <col min="8714" max="8960" width="9.140625" style="87"/>
    <col min="8961" max="8961" width="0.85546875" style="87" customWidth="1"/>
    <col min="8962" max="8962" width="1.140625" style="87" customWidth="1"/>
    <col min="8963" max="8963" width="32.42578125" style="87" customWidth="1"/>
    <col min="8964" max="8964" width="0.85546875" style="87" customWidth="1"/>
    <col min="8965" max="8965" width="32.42578125" style="87" customWidth="1"/>
    <col min="8966" max="8966" width="0.85546875" style="87" customWidth="1"/>
    <col min="8967" max="8967" width="32.42578125" style="87" customWidth="1"/>
    <col min="8968" max="8968" width="1.42578125" style="87" customWidth="1"/>
    <col min="8969" max="8969" width="0.85546875" style="87" customWidth="1"/>
    <col min="8970" max="9216" width="9.140625" style="87"/>
    <col min="9217" max="9217" width="0.85546875" style="87" customWidth="1"/>
    <col min="9218" max="9218" width="1.140625" style="87" customWidth="1"/>
    <col min="9219" max="9219" width="32.42578125" style="87" customWidth="1"/>
    <col min="9220" max="9220" width="0.85546875" style="87" customWidth="1"/>
    <col min="9221" max="9221" width="32.42578125" style="87" customWidth="1"/>
    <col min="9222" max="9222" width="0.85546875" style="87" customWidth="1"/>
    <col min="9223" max="9223" width="32.42578125" style="87" customWidth="1"/>
    <col min="9224" max="9224" width="1.42578125" style="87" customWidth="1"/>
    <col min="9225" max="9225" width="0.85546875" style="87" customWidth="1"/>
    <col min="9226" max="9472" width="9.140625" style="87"/>
    <col min="9473" max="9473" width="0.85546875" style="87" customWidth="1"/>
    <col min="9474" max="9474" width="1.140625" style="87" customWidth="1"/>
    <col min="9475" max="9475" width="32.42578125" style="87" customWidth="1"/>
    <col min="9476" max="9476" width="0.85546875" style="87" customWidth="1"/>
    <col min="9477" max="9477" width="32.42578125" style="87" customWidth="1"/>
    <col min="9478" max="9478" width="0.85546875" style="87" customWidth="1"/>
    <col min="9479" max="9479" width="32.42578125" style="87" customWidth="1"/>
    <col min="9480" max="9480" width="1.42578125" style="87" customWidth="1"/>
    <col min="9481" max="9481" width="0.85546875" style="87" customWidth="1"/>
    <col min="9482" max="9728" width="9.140625" style="87"/>
    <col min="9729" max="9729" width="0.85546875" style="87" customWidth="1"/>
    <col min="9730" max="9730" width="1.140625" style="87" customWidth="1"/>
    <col min="9731" max="9731" width="32.42578125" style="87" customWidth="1"/>
    <col min="9732" max="9732" width="0.85546875" style="87" customWidth="1"/>
    <col min="9733" max="9733" width="32.42578125" style="87" customWidth="1"/>
    <col min="9734" max="9734" width="0.85546875" style="87" customWidth="1"/>
    <col min="9735" max="9735" width="32.42578125" style="87" customWidth="1"/>
    <col min="9736" max="9736" width="1.42578125" style="87" customWidth="1"/>
    <col min="9737" max="9737" width="0.85546875" style="87" customWidth="1"/>
    <col min="9738" max="9984" width="9.140625" style="87"/>
    <col min="9985" max="9985" width="0.85546875" style="87" customWidth="1"/>
    <col min="9986" max="9986" width="1.140625" style="87" customWidth="1"/>
    <col min="9987" max="9987" width="32.42578125" style="87" customWidth="1"/>
    <col min="9988" max="9988" width="0.85546875" style="87" customWidth="1"/>
    <col min="9989" max="9989" width="32.42578125" style="87" customWidth="1"/>
    <col min="9990" max="9990" width="0.85546875" style="87" customWidth="1"/>
    <col min="9991" max="9991" width="32.42578125" style="87" customWidth="1"/>
    <col min="9992" max="9992" width="1.42578125" style="87" customWidth="1"/>
    <col min="9993" max="9993" width="0.85546875" style="87" customWidth="1"/>
    <col min="9994" max="10240" width="9.140625" style="87"/>
    <col min="10241" max="10241" width="0.85546875" style="87" customWidth="1"/>
    <col min="10242" max="10242" width="1.140625" style="87" customWidth="1"/>
    <col min="10243" max="10243" width="32.42578125" style="87" customWidth="1"/>
    <col min="10244" max="10244" width="0.85546875" style="87" customWidth="1"/>
    <col min="10245" max="10245" width="32.42578125" style="87" customWidth="1"/>
    <col min="10246" max="10246" width="0.85546875" style="87" customWidth="1"/>
    <col min="10247" max="10247" width="32.42578125" style="87" customWidth="1"/>
    <col min="10248" max="10248" width="1.42578125" style="87" customWidth="1"/>
    <col min="10249" max="10249" width="0.85546875" style="87" customWidth="1"/>
    <col min="10250" max="10496" width="9.140625" style="87"/>
    <col min="10497" max="10497" width="0.85546875" style="87" customWidth="1"/>
    <col min="10498" max="10498" width="1.140625" style="87" customWidth="1"/>
    <col min="10499" max="10499" width="32.42578125" style="87" customWidth="1"/>
    <col min="10500" max="10500" width="0.85546875" style="87" customWidth="1"/>
    <col min="10501" max="10501" width="32.42578125" style="87" customWidth="1"/>
    <col min="10502" max="10502" width="0.85546875" style="87" customWidth="1"/>
    <col min="10503" max="10503" width="32.42578125" style="87" customWidth="1"/>
    <col min="10504" max="10504" width="1.42578125" style="87" customWidth="1"/>
    <col min="10505" max="10505" width="0.85546875" style="87" customWidth="1"/>
    <col min="10506" max="10752" width="9.140625" style="87"/>
    <col min="10753" max="10753" width="0.85546875" style="87" customWidth="1"/>
    <col min="10754" max="10754" width="1.140625" style="87" customWidth="1"/>
    <col min="10755" max="10755" width="32.42578125" style="87" customWidth="1"/>
    <col min="10756" max="10756" width="0.85546875" style="87" customWidth="1"/>
    <col min="10757" max="10757" width="32.42578125" style="87" customWidth="1"/>
    <col min="10758" max="10758" width="0.85546875" style="87" customWidth="1"/>
    <col min="10759" max="10759" width="32.42578125" style="87" customWidth="1"/>
    <col min="10760" max="10760" width="1.42578125" style="87" customWidth="1"/>
    <col min="10761" max="10761" width="0.85546875" style="87" customWidth="1"/>
    <col min="10762" max="11008" width="9.140625" style="87"/>
    <col min="11009" max="11009" width="0.85546875" style="87" customWidth="1"/>
    <col min="11010" max="11010" width="1.140625" style="87" customWidth="1"/>
    <col min="11011" max="11011" width="32.42578125" style="87" customWidth="1"/>
    <col min="11012" max="11012" width="0.85546875" style="87" customWidth="1"/>
    <col min="11013" max="11013" width="32.42578125" style="87" customWidth="1"/>
    <col min="11014" max="11014" width="0.85546875" style="87" customWidth="1"/>
    <col min="11015" max="11015" width="32.42578125" style="87" customWidth="1"/>
    <col min="11016" max="11016" width="1.42578125" style="87" customWidth="1"/>
    <col min="11017" max="11017" width="0.85546875" style="87" customWidth="1"/>
    <col min="11018" max="11264" width="9.140625" style="87"/>
    <col min="11265" max="11265" width="0.85546875" style="87" customWidth="1"/>
    <col min="11266" max="11266" width="1.140625" style="87" customWidth="1"/>
    <col min="11267" max="11267" width="32.42578125" style="87" customWidth="1"/>
    <col min="11268" max="11268" width="0.85546875" style="87" customWidth="1"/>
    <col min="11269" max="11269" width="32.42578125" style="87" customWidth="1"/>
    <col min="11270" max="11270" width="0.85546875" style="87" customWidth="1"/>
    <col min="11271" max="11271" width="32.42578125" style="87" customWidth="1"/>
    <col min="11272" max="11272" width="1.42578125" style="87" customWidth="1"/>
    <col min="11273" max="11273" width="0.85546875" style="87" customWidth="1"/>
    <col min="11274" max="11520" width="9.140625" style="87"/>
    <col min="11521" max="11521" width="0.85546875" style="87" customWidth="1"/>
    <col min="11522" max="11522" width="1.140625" style="87" customWidth="1"/>
    <col min="11523" max="11523" width="32.42578125" style="87" customWidth="1"/>
    <col min="11524" max="11524" width="0.85546875" style="87" customWidth="1"/>
    <col min="11525" max="11525" width="32.42578125" style="87" customWidth="1"/>
    <col min="11526" max="11526" width="0.85546875" style="87" customWidth="1"/>
    <col min="11527" max="11527" width="32.42578125" style="87" customWidth="1"/>
    <col min="11528" max="11528" width="1.42578125" style="87" customWidth="1"/>
    <col min="11529" max="11529" width="0.85546875" style="87" customWidth="1"/>
    <col min="11530" max="11776" width="9.140625" style="87"/>
    <col min="11777" max="11777" width="0.85546875" style="87" customWidth="1"/>
    <col min="11778" max="11778" width="1.140625" style="87" customWidth="1"/>
    <col min="11779" max="11779" width="32.42578125" style="87" customWidth="1"/>
    <col min="11780" max="11780" width="0.85546875" style="87" customWidth="1"/>
    <col min="11781" max="11781" width="32.42578125" style="87" customWidth="1"/>
    <col min="11782" max="11782" width="0.85546875" style="87" customWidth="1"/>
    <col min="11783" max="11783" width="32.42578125" style="87" customWidth="1"/>
    <col min="11784" max="11784" width="1.42578125" style="87" customWidth="1"/>
    <col min="11785" max="11785" width="0.85546875" style="87" customWidth="1"/>
    <col min="11786" max="12032" width="9.140625" style="87"/>
    <col min="12033" max="12033" width="0.85546875" style="87" customWidth="1"/>
    <col min="12034" max="12034" width="1.140625" style="87" customWidth="1"/>
    <col min="12035" max="12035" width="32.42578125" style="87" customWidth="1"/>
    <col min="12036" max="12036" width="0.85546875" style="87" customWidth="1"/>
    <col min="12037" max="12037" width="32.42578125" style="87" customWidth="1"/>
    <col min="12038" max="12038" width="0.85546875" style="87" customWidth="1"/>
    <col min="12039" max="12039" width="32.42578125" style="87" customWidth="1"/>
    <col min="12040" max="12040" width="1.42578125" style="87" customWidth="1"/>
    <col min="12041" max="12041" width="0.85546875" style="87" customWidth="1"/>
    <col min="12042" max="12288" width="9.140625" style="87"/>
    <col min="12289" max="12289" width="0.85546875" style="87" customWidth="1"/>
    <col min="12290" max="12290" width="1.140625" style="87" customWidth="1"/>
    <col min="12291" max="12291" width="32.42578125" style="87" customWidth="1"/>
    <col min="12292" max="12292" width="0.85546875" style="87" customWidth="1"/>
    <col min="12293" max="12293" width="32.42578125" style="87" customWidth="1"/>
    <col min="12294" max="12294" width="0.85546875" style="87" customWidth="1"/>
    <col min="12295" max="12295" width="32.42578125" style="87" customWidth="1"/>
    <col min="12296" max="12296" width="1.42578125" style="87" customWidth="1"/>
    <col min="12297" max="12297" width="0.85546875" style="87" customWidth="1"/>
    <col min="12298" max="12544" width="9.140625" style="87"/>
    <col min="12545" max="12545" width="0.85546875" style="87" customWidth="1"/>
    <col min="12546" max="12546" width="1.140625" style="87" customWidth="1"/>
    <col min="12547" max="12547" width="32.42578125" style="87" customWidth="1"/>
    <col min="12548" max="12548" width="0.85546875" style="87" customWidth="1"/>
    <col min="12549" max="12549" width="32.42578125" style="87" customWidth="1"/>
    <col min="12550" max="12550" width="0.85546875" style="87" customWidth="1"/>
    <col min="12551" max="12551" width="32.42578125" style="87" customWidth="1"/>
    <col min="12552" max="12552" width="1.42578125" style="87" customWidth="1"/>
    <col min="12553" max="12553" width="0.85546875" style="87" customWidth="1"/>
    <col min="12554" max="12800" width="9.140625" style="87"/>
    <col min="12801" max="12801" width="0.85546875" style="87" customWidth="1"/>
    <col min="12802" max="12802" width="1.140625" style="87" customWidth="1"/>
    <col min="12803" max="12803" width="32.42578125" style="87" customWidth="1"/>
    <col min="12804" max="12804" width="0.85546875" style="87" customWidth="1"/>
    <col min="12805" max="12805" width="32.42578125" style="87" customWidth="1"/>
    <col min="12806" max="12806" width="0.85546875" style="87" customWidth="1"/>
    <col min="12807" max="12807" width="32.42578125" style="87" customWidth="1"/>
    <col min="12808" max="12808" width="1.42578125" style="87" customWidth="1"/>
    <col min="12809" max="12809" width="0.85546875" style="87" customWidth="1"/>
    <col min="12810" max="13056" width="9.140625" style="87"/>
    <col min="13057" max="13057" width="0.85546875" style="87" customWidth="1"/>
    <col min="13058" max="13058" width="1.140625" style="87" customWidth="1"/>
    <col min="13059" max="13059" width="32.42578125" style="87" customWidth="1"/>
    <col min="13060" max="13060" width="0.85546875" style="87" customWidth="1"/>
    <col min="13061" max="13061" width="32.42578125" style="87" customWidth="1"/>
    <col min="13062" max="13062" width="0.85546875" style="87" customWidth="1"/>
    <col min="13063" max="13063" width="32.42578125" style="87" customWidth="1"/>
    <col min="13064" max="13064" width="1.42578125" style="87" customWidth="1"/>
    <col min="13065" max="13065" width="0.85546875" style="87" customWidth="1"/>
    <col min="13066" max="13312" width="9.140625" style="87"/>
    <col min="13313" max="13313" width="0.85546875" style="87" customWidth="1"/>
    <col min="13314" max="13314" width="1.140625" style="87" customWidth="1"/>
    <col min="13315" max="13315" width="32.42578125" style="87" customWidth="1"/>
    <col min="13316" max="13316" width="0.85546875" style="87" customWidth="1"/>
    <col min="13317" max="13317" width="32.42578125" style="87" customWidth="1"/>
    <col min="13318" max="13318" width="0.85546875" style="87" customWidth="1"/>
    <col min="13319" max="13319" width="32.42578125" style="87" customWidth="1"/>
    <col min="13320" max="13320" width="1.42578125" style="87" customWidth="1"/>
    <col min="13321" max="13321" width="0.85546875" style="87" customWidth="1"/>
    <col min="13322" max="13568" width="9.140625" style="87"/>
    <col min="13569" max="13569" width="0.85546875" style="87" customWidth="1"/>
    <col min="13570" max="13570" width="1.140625" style="87" customWidth="1"/>
    <col min="13571" max="13571" width="32.42578125" style="87" customWidth="1"/>
    <col min="13572" max="13572" width="0.85546875" style="87" customWidth="1"/>
    <col min="13573" max="13573" width="32.42578125" style="87" customWidth="1"/>
    <col min="13574" max="13574" width="0.85546875" style="87" customWidth="1"/>
    <col min="13575" max="13575" width="32.42578125" style="87" customWidth="1"/>
    <col min="13576" max="13576" width="1.42578125" style="87" customWidth="1"/>
    <col min="13577" max="13577" width="0.85546875" style="87" customWidth="1"/>
    <col min="13578" max="13824" width="9.140625" style="87"/>
    <col min="13825" max="13825" width="0.85546875" style="87" customWidth="1"/>
    <col min="13826" max="13826" width="1.140625" style="87" customWidth="1"/>
    <col min="13827" max="13827" width="32.42578125" style="87" customWidth="1"/>
    <col min="13828" max="13828" width="0.85546875" style="87" customWidth="1"/>
    <col min="13829" max="13829" width="32.42578125" style="87" customWidth="1"/>
    <col min="13830" max="13830" width="0.85546875" style="87" customWidth="1"/>
    <col min="13831" max="13831" width="32.42578125" style="87" customWidth="1"/>
    <col min="13832" max="13832" width="1.42578125" style="87" customWidth="1"/>
    <col min="13833" max="13833" width="0.85546875" style="87" customWidth="1"/>
    <col min="13834" max="14080" width="9.140625" style="87"/>
    <col min="14081" max="14081" width="0.85546875" style="87" customWidth="1"/>
    <col min="14082" max="14082" width="1.140625" style="87" customWidth="1"/>
    <col min="14083" max="14083" width="32.42578125" style="87" customWidth="1"/>
    <col min="14084" max="14084" width="0.85546875" style="87" customWidth="1"/>
    <col min="14085" max="14085" width="32.42578125" style="87" customWidth="1"/>
    <col min="14086" max="14086" width="0.85546875" style="87" customWidth="1"/>
    <col min="14087" max="14087" width="32.42578125" style="87" customWidth="1"/>
    <col min="14088" max="14088" width="1.42578125" style="87" customWidth="1"/>
    <col min="14089" max="14089" width="0.85546875" style="87" customWidth="1"/>
    <col min="14090" max="14336" width="9.140625" style="87"/>
    <col min="14337" max="14337" width="0.85546875" style="87" customWidth="1"/>
    <col min="14338" max="14338" width="1.140625" style="87" customWidth="1"/>
    <col min="14339" max="14339" width="32.42578125" style="87" customWidth="1"/>
    <col min="14340" max="14340" width="0.85546875" style="87" customWidth="1"/>
    <col min="14341" max="14341" width="32.42578125" style="87" customWidth="1"/>
    <col min="14342" max="14342" width="0.85546875" style="87" customWidth="1"/>
    <col min="14343" max="14343" width="32.42578125" style="87" customWidth="1"/>
    <col min="14344" max="14344" width="1.42578125" style="87" customWidth="1"/>
    <col min="14345" max="14345" width="0.85546875" style="87" customWidth="1"/>
    <col min="14346" max="14592" width="9.140625" style="87"/>
    <col min="14593" max="14593" width="0.85546875" style="87" customWidth="1"/>
    <col min="14594" max="14594" width="1.140625" style="87" customWidth="1"/>
    <col min="14595" max="14595" width="32.42578125" style="87" customWidth="1"/>
    <col min="14596" max="14596" width="0.85546875" style="87" customWidth="1"/>
    <col min="14597" max="14597" width="32.42578125" style="87" customWidth="1"/>
    <col min="14598" max="14598" width="0.85546875" style="87" customWidth="1"/>
    <col min="14599" max="14599" width="32.42578125" style="87" customWidth="1"/>
    <col min="14600" max="14600" width="1.42578125" style="87" customWidth="1"/>
    <col min="14601" max="14601" width="0.85546875" style="87" customWidth="1"/>
    <col min="14602" max="14848" width="9.140625" style="87"/>
    <col min="14849" max="14849" width="0.85546875" style="87" customWidth="1"/>
    <col min="14850" max="14850" width="1.140625" style="87" customWidth="1"/>
    <col min="14851" max="14851" width="32.42578125" style="87" customWidth="1"/>
    <col min="14852" max="14852" width="0.85546875" style="87" customWidth="1"/>
    <col min="14853" max="14853" width="32.42578125" style="87" customWidth="1"/>
    <col min="14854" max="14854" width="0.85546875" style="87" customWidth="1"/>
    <col min="14855" max="14855" width="32.42578125" style="87" customWidth="1"/>
    <col min="14856" max="14856" width="1.42578125" style="87" customWidth="1"/>
    <col min="14857" max="14857" width="0.85546875" style="87" customWidth="1"/>
    <col min="14858" max="15104" width="9.140625" style="87"/>
    <col min="15105" max="15105" width="0.85546875" style="87" customWidth="1"/>
    <col min="15106" max="15106" width="1.140625" style="87" customWidth="1"/>
    <col min="15107" max="15107" width="32.42578125" style="87" customWidth="1"/>
    <col min="15108" max="15108" width="0.85546875" style="87" customWidth="1"/>
    <col min="15109" max="15109" width="32.42578125" style="87" customWidth="1"/>
    <col min="15110" max="15110" width="0.85546875" style="87" customWidth="1"/>
    <col min="15111" max="15111" width="32.42578125" style="87" customWidth="1"/>
    <col min="15112" max="15112" width="1.42578125" style="87" customWidth="1"/>
    <col min="15113" max="15113" width="0.85546875" style="87" customWidth="1"/>
    <col min="15114" max="15360" width="9.140625" style="87"/>
    <col min="15361" max="15361" width="0.85546875" style="87" customWidth="1"/>
    <col min="15362" max="15362" width="1.140625" style="87" customWidth="1"/>
    <col min="15363" max="15363" width="32.42578125" style="87" customWidth="1"/>
    <col min="15364" max="15364" width="0.85546875" style="87" customWidth="1"/>
    <col min="15365" max="15365" width="32.42578125" style="87" customWidth="1"/>
    <col min="15366" max="15366" width="0.85546875" style="87" customWidth="1"/>
    <col min="15367" max="15367" width="32.42578125" style="87" customWidth="1"/>
    <col min="15368" max="15368" width="1.42578125" style="87" customWidth="1"/>
    <col min="15369" max="15369" width="0.85546875" style="87" customWidth="1"/>
    <col min="15370" max="15616" width="9.140625" style="87"/>
    <col min="15617" max="15617" width="0.85546875" style="87" customWidth="1"/>
    <col min="15618" max="15618" width="1.140625" style="87" customWidth="1"/>
    <col min="15619" max="15619" width="32.42578125" style="87" customWidth="1"/>
    <col min="15620" max="15620" width="0.85546875" style="87" customWidth="1"/>
    <col min="15621" max="15621" width="32.42578125" style="87" customWidth="1"/>
    <col min="15622" max="15622" width="0.85546875" style="87" customWidth="1"/>
    <col min="15623" max="15623" width="32.42578125" style="87" customWidth="1"/>
    <col min="15624" max="15624" width="1.42578125" style="87" customWidth="1"/>
    <col min="15625" max="15625" width="0.85546875" style="87" customWidth="1"/>
    <col min="15626" max="15872" width="9.140625" style="87"/>
    <col min="15873" max="15873" width="0.85546875" style="87" customWidth="1"/>
    <col min="15874" max="15874" width="1.140625" style="87" customWidth="1"/>
    <col min="15875" max="15875" width="32.42578125" style="87" customWidth="1"/>
    <col min="15876" max="15876" width="0.85546875" style="87" customWidth="1"/>
    <col min="15877" max="15877" width="32.42578125" style="87" customWidth="1"/>
    <col min="15878" max="15878" width="0.85546875" style="87" customWidth="1"/>
    <col min="15879" max="15879" width="32.42578125" style="87" customWidth="1"/>
    <col min="15880" max="15880" width="1.42578125" style="87" customWidth="1"/>
    <col min="15881" max="15881" width="0.85546875" style="87" customWidth="1"/>
    <col min="15882" max="16128" width="9.140625" style="87"/>
    <col min="16129" max="16129" width="0.85546875" style="87" customWidth="1"/>
    <col min="16130" max="16130" width="1.140625" style="87" customWidth="1"/>
    <col min="16131" max="16131" width="32.42578125" style="87" customWidth="1"/>
    <col min="16132" max="16132" width="0.85546875" style="87" customWidth="1"/>
    <col min="16133" max="16133" width="32.42578125" style="87" customWidth="1"/>
    <col min="16134" max="16134" width="0.85546875" style="87" customWidth="1"/>
    <col min="16135" max="16135" width="32.42578125" style="87" customWidth="1"/>
    <col min="16136" max="16136" width="1.42578125" style="87" customWidth="1"/>
    <col min="16137" max="16137" width="0.85546875" style="87" customWidth="1"/>
    <col min="16138" max="16384" width="9.140625" style="87"/>
  </cols>
  <sheetData>
    <row r="1" spans="1:14" s="97" customFormat="1" ht="5.25" customHeight="1">
      <c r="A1" s="95"/>
      <c r="C1" s="97">
        <v>2</v>
      </c>
      <c r="I1" s="105"/>
      <c r="J1" s="106"/>
    </row>
    <row r="2" spans="1:14" ht="25.5" customHeight="1">
      <c r="A2" s="91"/>
      <c r="B2" s="98"/>
      <c r="C2" s="122" t="s">
        <v>118</v>
      </c>
      <c r="D2" s="100"/>
      <c r="E2" s="88"/>
      <c r="F2" s="100"/>
      <c r="G2" s="167" t="s">
        <v>232</v>
      </c>
      <c r="H2" s="102"/>
      <c r="I2" s="107"/>
      <c r="K2" s="117" t="s">
        <v>120</v>
      </c>
      <c r="L2" s="115"/>
      <c r="M2" s="115"/>
      <c r="N2" s="115"/>
    </row>
    <row r="3" spans="1:14" ht="18.75">
      <c r="A3" s="91"/>
      <c r="B3" s="168" t="s">
        <v>222</v>
      </c>
      <c r="C3" s="169"/>
      <c r="D3" s="169"/>
      <c r="E3" s="169"/>
      <c r="F3" s="169"/>
      <c r="G3" s="169"/>
      <c r="H3" s="170"/>
      <c r="I3" s="107"/>
      <c r="K3" s="115"/>
      <c r="L3" s="115"/>
      <c r="M3" s="115"/>
      <c r="N3" s="116"/>
    </row>
    <row r="4" spans="1:14" ht="4.5" customHeight="1">
      <c r="A4" s="91"/>
      <c r="B4" s="171"/>
      <c r="C4" s="172"/>
      <c r="D4" s="172"/>
      <c r="E4" s="172"/>
      <c r="F4" s="172"/>
      <c r="G4" s="172"/>
      <c r="H4" s="173"/>
      <c r="I4" s="107"/>
    </row>
    <row r="5" spans="1:14" ht="1.5" customHeight="1">
      <c r="A5" s="91"/>
      <c r="B5" s="92"/>
      <c r="C5" s="93"/>
      <c r="D5" s="93"/>
      <c r="E5" s="93"/>
      <c r="F5" s="93"/>
      <c r="G5" s="93"/>
      <c r="H5" s="103"/>
      <c r="I5" s="107"/>
    </row>
    <row r="6" spans="1:14" ht="15" customHeight="1">
      <c r="A6" s="94"/>
      <c r="B6" s="92"/>
      <c r="C6" s="148" t="s">
        <v>231</v>
      </c>
      <c r="D6" s="125"/>
      <c r="E6" s="126"/>
      <c r="F6" s="125"/>
      <c r="G6" s="125"/>
      <c r="H6" s="103"/>
      <c r="I6" s="108"/>
    </row>
    <row r="7" spans="1:14" ht="11.25" customHeight="1">
      <c r="A7" s="96"/>
      <c r="B7" s="92"/>
      <c r="C7" s="113">
        <f>1</f>
        <v>1</v>
      </c>
      <c r="D7" s="93"/>
      <c r="E7" s="113">
        <f>2</f>
        <v>2</v>
      </c>
      <c r="F7" s="93"/>
      <c r="G7" s="113">
        <f>E7+1</f>
        <v>3</v>
      </c>
      <c r="H7" s="103"/>
      <c r="I7" s="109"/>
    </row>
    <row r="8" spans="1:14" s="134" customFormat="1" ht="15.75" customHeight="1">
      <c r="A8" s="127"/>
      <c r="B8" s="128"/>
      <c r="C8" s="129" t="s">
        <v>73</v>
      </c>
      <c r="D8" s="130"/>
      <c r="E8" s="129" t="s">
        <v>148</v>
      </c>
      <c r="F8" s="130"/>
      <c r="G8" s="129" t="s">
        <v>57</v>
      </c>
      <c r="H8" s="131"/>
      <c r="I8" s="132"/>
      <c r="J8" s="133"/>
    </row>
    <row r="9" spans="1:14" ht="125.1" customHeight="1">
      <c r="A9" s="96"/>
      <c r="B9" s="92"/>
      <c r="C9" s="111"/>
      <c r="D9" s="93"/>
      <c r="E9" s="111"/>
      <c r="F9" s="93"/>
      <c r="G9" s="111"/>
      <c r="H9" s="103"/>
      <c r="I9" s="109"/>
      <c r="K9" s="114"/>
    </row>
    <row r="10" spans="1:14" ht="10.5" customHeight="1">
      <c r="A10" s="96"/>
      <c r="B10" s="92"/>
      <c r="C10" s="112" t="s">
        <v>189</v>
      </c>
      <c r="D10" s="101"/>
      <c r="E10" s="112" t="s">
        <v>190</v>
      </c>
      <c r="F10" s="101"/>
      <c r="G10" s="112"/>
      <c r="H10" s="103"/>
      <c r="I10" s="109"/>
    </row>
    <row r="11" spans="1:14" ht="14.25" customHeight="1">
      <c r="A11" s="94"/>
      <c r="B11" s="92"/>
      <c r="C11" s="148" t="s">
        <v>145</v>
      </c>
      <c r="D11" s="125"/>
      <c r="E11" s="126"/>
      <c r="F11" s="125"/>
      <c r="G11" s="125"/>
      <c r="H11" s="103"/>
      <c r="I11" s="108"/>
    </row>
    <row r="12" spans="1:14" ht="11.25" customHeight="1">
      <c r="A12" s="96"/>
      <c r="B12" s="92"/>
      <c r="C12" s="113">
        <f>G7+1</f>
        <v>4</v>
      </c>
      <c r="D12" s="93"/>
      <c r="E12" s="113">
        <v>5</v>
      </c>
      <c r="F12" s="93"/>
      <c r="G12" s="113">
        <v>6</v>
      </c>
      <c r="H12" s="103"/>
      <c r="I12" s="109"/>
    </row>
    <row r="13" spans="1:14" s="134" customFormat="1" ht="13.5" customHeight="1">
      <c r="A13" s="127"/>
      <c r="B13" s="128"/>
      <c r="C13" s="129" t="s">
        <v>144</v>
      </c>
      <c r="D13" s="130"/>
      <c r="E13" s="129" t="s">
        <v>149</v>
      </c>
      <c r="F13" s="130"/>
      <c r="G13" s="129" t="s">
        <v>150</v>
      </c>
      <c r="H13" s="131"/>
      <c r="I13" s="132"/>
      <c r="J13" s="133"/>
    </row>
    <row r="14" spans="1:14" ht="125.1" customHeight="1">
      <c r="A14" s="96"/>
      <c r="B14" s="92"/>
      <c r="C14" s="111"/>
      <c r="D14" s="93"/>
      <c r="E14" s="153" t="s">
        <v>192</v>
      </c>
      <c r="F14" s="93"/>
      <c r="G14" s="111"/>
      <c r="H14" s="103"/>
      <c r="I14" s="109"/>
      <c r="M14" s="87" t="s">
        <v>162</v>
      </c>
    </row>
    <row r="15" spans="1:14" ht="10.5" customHeight="1">
      <c r="A15" s="96"/>
      <c r="B15" s="92"/>
      <c r="C15" s="112" t="s">
        <v>191</v>
      </c>
      <c r="D15" s="93"/>
      <c r="E15" s="112" t="s">
        <v>191</v>
      </c>
      <c r="F15" s="93"/>
      <c r="G15" s="112" t="s">
        <v>195</v>
      </c>
      <c r="H15" s="103"/>
      <c r="I15" s="109"/>
    </row>
    <row r="16" spans="1:14" ht="14.25" customHeight="1">
      <c r="A16" s="94"/>
      <c r="B16" s="92"/>
      <c r="C16" s="148" t="s">
        <v>146</v>
      </c>
      <c r="D16" s="125"/>
      <c r="E16" s="126"/>
      <c r="F16" s="125"/>
      <c r="G16" s="125"/>
      <c r="H16" s="103"/>
      <c r="I16" s="108"/>
    </row>
    <row r="17" spans="1:10" ht="11.25" customHeight="1">
      <c r="A17" s="96"/>
      <c r="B17" s="92"/>
      <c r="C17" s="113">
        <f>G12+1</f>
        <v>7</v>
      </c>
      <c r="D17" s="93"/>
      <c r="E17" s="113">
        <v>8</v>
      </c>
      <c r="F17" s="93"/>
      <c r="G17" s="113">
        <v>9</v>
      </c>
      <c r="H17" s="103"/>
      <c r="I17" s="109"/>
    </row>
    <row r="18" spans="1:10" s="90" customFormat="1" ht="23.1" customHeight="1">
      <c r="A18" s="96"/>
      <c r="B18" s="99"/>
      <c r="C18" s="129" t="s">
        <v>74</v>
      </c>
      <c r="D18" s="124"/>
      <c r="E18" s="129" t="s">
        <v>82</v>
      </c>
      <c r="F18" s="124"/>
      <c r="G18" s="129" t="s">
        <v>127</v>
      </c>
      <c r="H18" s="104"/>
      <c r="I18" s="109"/>
      <c r="J18" s="110"/>
    </row>
    <row r="19" spans="1:10" ht="125.1" customHeight="1">
      <c r="A19" s="96"/>
      <c r="B19" s="92"/>
      <c r="C19" s="111"/>
      <c r="D19" s="93"/>
      <c r="E19" s="111"/>
      <c r="F19" s="93"/>
      <c r="G19" s="111"/>
      <c r="H19" s="103"/>
      <c r="I19" s="109"/>
    </row>
    <row r="20" spans="1:10" ht="10.5" customHeight="1">
      <c r="A20" s="96"/>
      <c r="B20" s="92"/>
      <c r="C20" s="112" t="s">
        <v>137</v>
      </c>
      <c r="D20" s="93"/>
      <c r="E20" s="112" t="s">
        <v>138</v>
      </c>
      <c r="F20" s="93"/>
      <c r="G20" s="112" t="s">
        <v>128</v>
      </c>
      <c r="H20" s="103"/>
      <c r="I20" s="109"/>
    </row>
    <row r="21" spans="1:10" ht="14.25" customHeight="1">
      <c r="A21" s="94"/>
      <c r="B21" s="92"/>
      <c r="C21" s="148" t="s">
        <v>147</v>
      </c>
      <c r="D21" s="125"/>
      <c r="E21" s="126"/>
      <c r="F21" s="125"/>
      <c r="G21" s="125"/>
      <c r="H21" s="103"/>
      <c r="I21" s="108"/>
    </row>
    <row r="22" spans="1:10" ht="11.25" customHeight="1">
      <c r="A22" s="96"/>
      <c r="B22" s="92"/>
      <c r="C22" s="113">
        <f>G17+1</f>
        <v>10</v>
      </c>
      <c r="D22" s="93"/>
      <c r="E22" s="113">
        <f>C22+1</f>
        <v>11</v>
      </c>
      <c r="F22" s="93"/>
      <c r="G22" s="113">
        <f>E22+1</f>
        <v>12</v>
      </c>
      <c r="H22" s="103"/>
      <c r="I22" s="109"/>
    </row>
    <row r="23" spans="1:10" s="90" customFormat="1" ht="23.1" customHeight="1">
      <c r="A23" s="96"/>
      <c r="B23" s="99"/>
      <c r="C23" s="129" t="s">
        <v>152</v>
      </c>
      <c r="D23" s="130"/>
      <c r="E23" s="129" t="s">
        <v>151</v>
      </c>
      <c r="F23" s="130"/>
      <c r="G23" s="136" t="s">
        <v>153</v>
      </c>
      <c r="H23" s="104"/>
      <c r="I23" s="109"/>
      <c r="J23" s="110"/>
    </row>
    <row r="24" spans="1:10" ht="125.1" customHeight="1">
      <c r="A24" s="96"/>
      <c r="B24" s="92"/>
      <c r="C24" s="111"/>
      <c r="D24" s="93"/>
      <c r="E24" s="111"/>
      <c r="F24" s="93"/>
      <c r="G24" s="111"/>
      <c r="H24" s="103"/>
      <c r="I24" s="109"/>
    </row>
    <row r="25" spans="1:10" ht="10.5" customHeight="1">
      <c r="A25" s="96"/>
      <c r="B25" s="92"/>
      <c r="C25" s="112" t="s">
        <v>215</v>
      </c>
      <c r="D25" s="93"/>
      <c r="E25" s="112" t="s">
        <v>216</v>
      </c>
      <c r="F25" s="93"/>
      <c r="G25" s="112" t="s">
        <v>221</v>
      </c>
      <c r="H25" s="103"/>
      <c r="I25" s="109"/>
    </row>
    <row r="26" spans="1:10">
      <c r="A26" s="94"/>
      <c r="B26" s="92"/>
      <c r="C26" s="89"/>
      <c r="D26" s="93"/>
      <c r="E26" s="89"/>
      <c r="F26" s="93"/>
      <c r="G26" s="89"/>
      <c r="H26" s="103"/>
      <c r="I26" s="108"/>
    </row>
    <row r="27" spans="1:10" ht="15">
      <c r="A27" s="96"/>
      <c r="B27" s="174" t="s">
        <v>143</v>
      </c>
      <c r="C27" s="175"/>
      <c r="D27" s="175"/>
      <c r="E27" s="175"/>
      <c r="F27" s="175"/>
      <c r="G27" s="175"/>
      <c r="H27" s="176"/>
      <c r="I27" s="109"/>
    </row>
    <row r="28" spans="1:10">
      <c r="A28" s="94"/>
      <c r="I28" s="108"/>
    </row>
    <row r="29" spans="1:10">
      <c r="A29" s="94"/>
      <c r="I29" s="108"/>
    </row>
    <row r="30" spans="1:10">
      <c r="A30" s="94"/>
      <c r="I30" s="108"/>
    </row>
    <row r="31" spans="1:10">
      <c r="A31" s="94"/>
      <c r="I31" s="108"/>
    </row>
    <row r="32" spans="1:10">
      <c r="A32" s="94"/>
      <c r="I32" s="108"/>
    </row>
    <row r="33" spans="1:9">
      <c r="A33" s="94"/>
      <c r="I33" s="108"/>
    </row>
    <row r="34" spans="1:9">
      <c r="A34" s="94"/>
      <c r="I34" s="108"/>
    </row>
    <row r="35" spans="1:9">
      <c r="A35" s="94"/>
      <c r="I35" s="108"/>
    </row>
    <row r="36" spans="1:9">
      <c r="A36" s="94"/>
      <c r="I36" s="108"/>
    </row>
    <row r="37" spans="1:9">
      <c r="A37" s="94"/>
      <c r="I37" s="108"/>
    </row>
    <row r="38" spans="1:9">
      <c r="A38" s="94"/>
      <c r="I38" s="108"/>
    </row>
  </sheetData>
  <mergeCells count="3">
    <mergeCell ref="B3:H3"/>
    <mergeCell ref="B4:H4"/>
    <mergeCell ref="B27:H27"/>
  </mergeCells>
  <hyperlinks>
    <hyperlink ref="E14" location="Graphic5!A1" display="Dashboard!A1"/>
  </hyperlinks>
  <printOptions horizontalCentered="1" verticalCentered="1"/>
  <pageMargins left="0.5" right="0.5" top="0.25" bottom="0.25" header="0.5" footer="0.5"/>
  <pageSetup scale="94" fitToHeight="0" orientation="portrait" useFirstPageNumber="1" horizontalDpi="355" verticalDpi="355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34"/>
  <sheetViews>
    <sheetView view="pageBreakPreview" zoomScale="106" zoomScaleNormal="100" zoomScaleSheetLayoutView="106" workbookViewId="0">
      <selection activeCell="O14" sqref="O14"/>
    </sheetView>
  </sheetViews>
  <sheetFormatPr defaultRowHeight="15"/>
  <cols>
    <col min="13" max="13" width="10.28515625" customWidth="1"/>
    <col min="14" max="14" width="15.85546875" customWidth="1"/>
  </cols>
  <sheetData>
    <row r="1" spans="14:14" ht="15.75">
      <c r="N1" s="139" t="s">
        <v>163</v>
      </c>
    </row>
    <row r="33" spans="1:1">
      <c r="A33" s="166" t="s">
        <v>224</v>
      </c>
    </row>
    <row r="34" spans="1:1">
      <c r="A34" s="166" t="s">
        <v>223</v>
      </c>
    </row>
  </sheetData>
  <hyperlinks>
    <hyperlink ref="N1" location="Dashboard!A1" display="Dashboard"/>
  </hyperlinks>
  <pageMargins left="0.7" right="0.7" top="0.75" bottom="0.75" header="0.3" footer="0.3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35"/>
  <sheetViews>
    <sheetView view="pageBreakPreview" topLeftCell="A2" zoomScale="95" zoomScaleNormal="100" zoomScaleSheetLayoutView="95" workbookViewId="0">
      <selection activeCell="P20" sqref="P20"/>
    </sheetView>
  </sheetViews>
  <sheetFormatPr defaultRowHeight="15"/>
  <cols>
    <col min="13" max="13" width="10.28515625" customWidth="1"/>
    <col min="14" max="14" width="15.85546875" customWidth="1"/>
  </cols>
  <sheetData>
    <row r="1" spans="14:14" ht="15.75" hidden="1">
      <c r="N1" s="139" t="s">
        <v>163</v>
      </c>
    </row>
    <row r="2" spans="14:14" ht="15.75">
      <c r="N2" s="139" t="s">
        <v>163</v>
      </c>
    </row>
    <row r="35" spans="1:1">
      <c r="A35" s="166" t="s">
        <v>227</v>
      </c>
    </row>
  </sheetData>
  <hyperlinks>
    <hyperlink ref="N1" location="Dashboard!A1" display="Dashboard"/>
    <hyperlink ref="N2" location="Dashboard!A1" display="Dashboard"/>
  </hyperlinks>
  <pageMargins left="0.7" right="0.7" top="0.75" bottom="0.75" header="0.3" footer="0.3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35"/>
  <sheetViews>
    <sheetView view="pageBreakPreview" topLeftCell="A2" zoomScale="96" zoomScaleNormal="100" zoomScaleSheetLayoutView="96" workbookViewId="0">
      <selection activeCell="N20" sqref="N20"/>
    </sheetView>
  </sheetViews>
  <sheetFormatPr defaultRowHeight="15"/>
  <cols>
    <col min="13" max="13" width="10.28515625" customWidth="1"/>
    <col min="14" max="14" width="15.85546875" customWidth="1"/>
  </cols>
  <sheetData>
    <row r="1" spans="14:14" hidden="1"/>
    <row r="2" spans="14:14" ht="15.75">
      <c r="N2" s="139" t="s">
        <v>163</v>
      </c>
    </row>
    <row r="35" spans="1:1">
      <c r="A35" s="166" t="s">
        <v>227</v>
      </c>
    </row>
  </sheetData>
  <hyperlinks>
    <hyperlink ref="N1" location="Dashboard!A1" display="Dashboard"/>
    <hyperlink ref="N2" location="Dashboard!A1" display="Dashboard"/>
  </hyperlinks>
  <pageMargins left="0.7" right="0.7" top="0.75" bottom="0.75" header="0.3" footer="0.3"/>
  <pageSetup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35"/>
  <sheetViews>
    <sheetView view="pageBreakPreview" topLeftCell="A2" zoomScale="101" zoomScaleNormal="100" zoomScaleSheetLayoutView="101" workbookViewId="0">
      <selection activeCell="P26" sqref="P26"/>
    </sheetView>
  </sheetViews>
  <sheetFormatPr defaultRowHeight="15"/>
  <cols>
    <col min="13" max="13" width="10.28515625" customWidth="1"/>
    <col min="14" max="14" width="15.85546875" customWidth="1"/>
  </cols>
  <sheetData>
    <row r="1" spans="14:14" hidden="1"/>
    <row r="2" spans="14:14" ht="15.75">
      <c r="N2" s="139" t="s">
        <v>163</v>
      </c>
    </row>
    <row r="35" spans="1:1">
      <c r="A35" s="166" t="s">
        <v>227</v>
      </c>
    </row>
  </sheetData>
  <hyperlinks>
    <hyperlink ref="N1" location="Dashboard!A1" display="Dashboard"/>
    <hyperlink ref="N2" location="Dashboard!A1" display="Dashboard"/>
  </hyperlinks>
  <pageMargins left="0.7" right="0.7" top="0.75" bottom="0.75" header="0.3" footer="0.3"/>
  <pageSetup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105"/>
  <sheetViews>
    <sheetView workbookViewId="0">
      <selection activeCell="L47" sqref="L47"/>
    </sheetView>
  </sheetViews>
  <sheetFormatPr defaultRowHeight="15"/>
  <cols>
    <col min="1" max="1" width="14.28515625" bestFit="1" customWidth="1"/>
    <col min="2" max="2" width="20.140625" customWidth="1"/>
    <col min="3" max="3" width="12.85546875" bestFit="1" customWidth="1"/>
    <col min="4" max="4" width="9.28515625" bestFit="1" customWidth="1"/>
    <col min="5" max="5" width="8.85546875" bestFit="1" customWidth="1"/>
    <col min="6" max="6" width="16" bestFit="1" customWidth="1"/>
    <col min="7" max="7" width="16.7109375" customWidth="1"/>
    <col min="8" max="10" width="15.28515625" bestFit="1" customWidth="1"/>
    <col min="11" max="13" width="16.28515625" bestFit="1" customWidth="1"/>
  </cols>
  <sheetData>
    <row r="1" spans="1:13">
      <c r="A1" s="118"/>
      <c r="B1" s="118" t="s">
        <v>119</v>
      </c>
      <c r="C1" s="118"/>
    </row>
    <row r="2" spans="1:13">
      <c r="B2">
        <v>8</v>
      </c>
    </row>
    <row r="4" spans="1:13">
      <c r="B4">
        <v>1</v>
      </c>
    </row>
    <row r="5" spans="1:13">
      <c r="B5">
        <v>2</v>
      </c>
    </row>
    <row r="6" spans="1:13">
      <c r="B6">
        <v>3</v>
      </c>
    </row>
    <row r="7" spans="1:13">
      <c r="B7">
        <v>4</v>
      </c>
    </row>
    <row r="8" spans="1:13">
      <c r="B8">
        <v>5</v>
      </c>
    </row>
    <row r="9" spans="1:13">
      <c r="B9">
        <v>6</v>
      </c>
    </row>
    <row r="10" spans="1:13">
      <c r="B10">
        <v>7</v>
      </c>
    </row>
    <row r="11" spans="1:13">
      <c r="B11">
        <v>8</v>
      </c>
    </row>
    <row r="12" spans="1:13">
      <c r="F12" s="1">
        <f>G12+1</f>
        <v>8</v>
      </c>
      <c r="G12" s="1">
        <f t="shared" ref="G12:K12" si="0">H12+1</f>
        <v>7</v>
      </c>
      <c r="H12" s="1">
        <f t="shared" si="0"/>
        <v>6</v>
      </c>
      <c r="I12" s="1">
        <f t="shared" si="0"/>
        <v>5</v>
      </c>
      <c r="J12" s="1">
        <f t="shared" si="0"/>
        <v>4</v>
      </c>
      <c r="K12" s="1">
        <f t="shared" si="0"/>
        <v>3</v>
      </c>
      <c r="L12" s="1">
        <f>M12+1</f>
        <v>2</v>
      </c>
      <c r="M12" s="1">
        <v>1</v>
      </c>
    </row>
    <row r="13" spans="1:13" ht="30.75" customHeight="1">
      <c r="A13" s="119" t="s">
        <v>121</v>
      </c>
      <c r="B13" s="119" t="s">
        <v>122</v>
      </c>
      <c r="C13" s="118" t="s">
        <v>123</v>
      </c>
      <c r="D13" s="118" t="s">
        <v>124</v>
      </c>
      <c r="E13" s="118" t="s">
        <v>125</v>
      </c>
      <c r="F13" s="120">
        <f t="shared" ref="F13:M13" ca="1" si="1">OFFSET(ref_enrollment,0,1+($E14-$D14+1)-F$12,1,1)</f>
        <v>2001</v>
      </c>
      <c r="G13" s="120">
        <f t="shared" ca="1" si="1"/>
        <v>2002</v>
      </c>
      <c r="H13" s="120">
        <f t="shared" ca="1" si="1"/>
        <v>2003</v>
      </c>
      <c r="I13" s="120">
        <f t="shared" ca="1" si="1"/>
        <v>2004</v>
      </c>
      <c r="J13" s="120">
        <f t="shared" ca="1" si="1"/>
        <v>2005</v>
      </c>
      <c r="K13" s="120">
        <f t="shared" ca="1" si="1"/>
        <v>2006</v>
      </c>
      <c r="L13" s="120">
        <f t="shared" ca="1" si="1"/>
        <v>2007</v>
      </c>
      <c r="M13" s="120">
        <f t="shared" ca="1" si="1"/>
        <v>2008</v>
      </c>
    </row>
    <row r="14" spans="1:13">
      <c r="A14" s="119">
        <v>1</v>
      </c>
      <c r="B14" s="119" t="s">
        <v>73</v>
      </c>
      <c r="C14" s="120">
        <f>COUNTA('Raw Data'!C7:IQ7)</f>
        <v>8</v>
      </c>
      <c r="D14" s="120">
        <f>MIN('Raw Data'!C4:IQ4)</f>
        <v>2001</v>
      </c>
      <c r="E14" s="120">
        <f>MAX('Raw Data'!C4:IQ4)</f>
        <v>2008</v>
      </c>
      <c r="F14" s="120" t="str">
        <f t="shared" ref="F14:M14" ca="1" si="2">RIGHT(F13,2)</f>
        <v>01</v>
      </c>
      <c r="G14" s="120" t="str">
        <f t="shared" ca="1" si="2"/>
        <v>02</v>
      </c>
      <c r="H14" s="120" t="str">
        <f t="shared" ca="1" si="2"/>
        <v>03</v>
      </c>
      <c r="I14" s="120" t="str">
        <f t="shared" ca="1" si="2"/>
        <v>04</v>
      </c>
      <c r="J14" s="120" t="str">
        <f t="shared" ca="1" si="2"/>
        <v>05</v>
      </c>
      <c r="K14" s="120" t="str">
        <f t="shared" ca="1" si="2"/>
        <v>06</v>
      </c>
      <c r="L14" s="120" t="str">
        <f t="shared" ca="1" si="2"/>
        <v>07</v>
      </c>
      <c r="M14" s="120" t="str">
        <f t="shared" ca="1" si="2"/>
        <v>08</v>
      </c>
    </row>
    <row r="15" spans="1:13">
      <c r="A15" s="5" t="s">
        <v>155</v>
      </c>
      <c r="B15" s="5" t="str">
        <f>'Raw Data'!B5</f>
        <v>MC UG</v>
      </c>
      <c r="F15" s="137">
        <f t="shared" ref="F15:M15" ca="1" si="3">OFFSET(ref_enrollment,1,1+($E14-$D14+1)-F$12,1,1)</f>
        <v>1424</v>
      </c>
      <c r="G15" s="137">
        <f t="shared" ca="1" si="3"/>
        <v>1439</v>
      </c>
      <c r="H15" s="137">
        <f t="shared" ca="1" si="3"/>
        <v>1396</v>
      </c>
      <c r="I15" s="137">
        <f t="shared" ca="1" si="3"/>
        <v>1655</v>
      </c>
      <c r="J15" s="137">
        <f t="shared" ca="1" si="3"/>
        <v>1721</v>
      </c>
      <c r="K15" s="137">
        <f t="shared" ca="1" si="3"/>
        <v>1685</v>
      </c>
      <c r="L15" s="137">
        <f t="shared" ca="1" si="3"/>
        <v>1683</v>
      </c>
      <c r="M15" s="137">
        <f t="shared" ca="1" si="3"/>
        <v>1548</v>
      </c>
    </row>
    <row r="16" spans="1:13">
      <c r="A16" s="5" t="s">
        <v>156</v>
      </c>
      <c r="B16" s="5" t="str">
        <f>'Raw Data'!B6</f>
        <v>MC GR</v>
      </c>
      <c r="F16" s="137">
        <f t="shared" ref="F16:M16" ca="1" si="4">OFFSET(ref_enrollment,2,1+($E14-$D14+1)-F$12,1,1)</f>
        <v>1154</v>
      </c>
      <c r="G16" s="137">
        <f t="shared" ca="1" si="4"/>
        <v>1308</v>
      </c>
      <c r="H16" s="137">
        <f t="shared" ca="1" si="4"/>
        <v>1327</v>
      </c>
      <c r="I16" s="137">
        <f t="shared" ca="1" si="4"/>
        <v>1500</v>
      </c>
      <c r="J16" s="137">
        <f t="shared" ca="1" si="4"/>
        <v>1438</v>
      </c>
      <c r="K16" s="137">
        <f t="shared" ca="1" si="4"/>
        <v>1419</v>
      </c>
      <c r="L16" s="137">
        <f t="shared" ca="1" si="4"/>
        <v>1464</v>
      </c>
      <c r="M16" s="137">
        <f t="shared" ca="1" si="4"/>
        <v>1566</v>
      </c>
    </row>
    <row r="17" spans="1:13">
      <c r="A17" s="5" t="s">
        <v>157</v>
      </c>
      <c r="B17" s="5" t="str">
        <f>'Raw Data'!B7</f>
        <v>CAPA</v>
      </c>
      <c r="F17" s="137">
        <f t="shared" ref="F17:M17" ca="1" si="5">OFFSET(ref_enrollment,3,1+($E$14-$D$14+1)-F$12,1,1)</f>
        <v>804</v>
      </c>
      <c r="G17" s="137">
        <f t="shared" ca="1" si="5"/>
        <v>785</v>
      </c>
      <c r="H17" s="137">
        <f t="shared" ca="1" si="5"/>
        <v>787</v>
      </c>
      <c r="I17" s="137">
        <f t="shared" ca="1" si="5"/>
        <v>839</v>
      </c>
      <c r="J17" s="137">
        <f t="shared" ca="1" si="5"/>
        <v>817</v>
      </c>
      <c r="K17" s="137">
        <f t="shared" ca="1" si="5"/>
        <v>756</v>
      </c>
      <c r="L17" s="137">
        <f t="shared" ca="1" si="5"/>
        <v>695</v>
      </c>
      <c r="M17" s="137">
        <f t="shared" ca="1" si="5"/>
        <v>673</v>
      </c>
    </row>
    <row r="18" spans="1:13">
      <c r="A18" s="5" t="s">
        <v>158</v>
      </c>
      <c r="B18" s="5" t="str">
        <f>'Raw Data'!B8</f>
        <v>Doctoral</v>
      </c>
      <c r="F18" s="137">
        <f t="shared" ref="F18:M18" ca="1" si="6">OFFSET(ref_enrollment,4,1+($E$14-$D$14+1)-F$12,1,1)</f>
        <v>516</v>
      </c>
      <c r="G18" s="137">
        <f t="shared" ca="1" si="6"/>
        <v>555</v>
      </c>
      <c r="H18" s="137">
        <f t="shared" ca="1" si="6"/>
        <v>547</v>
      </c>
      <c r="I18" s="137">
        <f t="shared" ca="1" si="6"/>
        <v>577</v>
      </c>
      <c r="J18" s="137">
        <f t="shared" ca="1" si="6"/>
        <v>518</v>
      </c>
      <c r="K18" s="137">
        <f t="shared" ca="1" si="6"/>
        <v>511</v>
      </c>
      <c r="L18" s="137">
        <f t="shared" ca="1" si="6"/>
        <v>457</v>
      </c>
      <c r="M18" s="137">
        <f t="shared" ca="1" si="6"/>
        <v>470</v>
      </c>
    </row>
    <row r="19" spans="1:13">
      <c r="A19" s="138" t="s">
        <v>159</v>
      </c>
      <c r="B19" s="5" t="str">
        <f>'Raw Data'!B9</f>
        <v>Law</v>
      </c>
      <c r="F19" s="137">
        <f t="shared" ref="F19:M19" ca="1" si="7">OFFSET(ref_enrollment,5,1+($E$14-$D$14+1)-F$12,1,1)</f>
        <v>132</v>
      </c>
      <c r="G19" s="137">
        <f t="shared" ca="1" si="7"/>
        <v>127</v>
      </c>
      <c r="H19" s="137">
        <f t="shared" ca="1" si="7"/>
        <v>195</v>
      </c>
      <c r="I19" s="137">
        <f t="shared" ca="1" si="7"/>
        <v>221</v>
      </c>
      <c r="J19" s="137">
        <f t="shared" ca="1" si="7"/>
        <v>255</v>
      </c>
      <c r="K19" s="137">
        <f t="shared" ca="1" si="7"/>
        <v>263</v>
      </c>
      <c r="L19" s="137">
        <f t="shared" ca="1" si="7"/>
        <v>306</v>
      </c>
      <c r="M19" s="137">
        <f t="shared" ca="1" si="7"/>
        <v>349</v>
      </c>
    </row>
    <row r="20" spans="1:13">
      <c r="A20" s="138" t="s">
        <v>160</v>
      </c>
      <c r="B20" s="5" t="str">
        <f>'Raw Data'!B11</f>
        <v>RCA &amp; Other</v>
      </c>
      <c r="F20" s="123">
        <f t="shared" ref="F20:M20" ca="1" si="8">OFFSET(ref_enrollment,6,1+($E$14-$D$14+1)-F$12,1,1)</f>
        <v>0.50308261405672006</v>
      </c>
      <c r="G20" s="123">
        <f t="shared" ca="1" si="8"/>
        <v>0.44994126093199321</v>
      </c>
      <c r="H20" s="123">
        <f t="shared" ca="1" si="8"/>
        <v>0.46790138906269552</v>
      </c>
      <c r="I20" s="123">
        <f t="shared" ca="1" si="8"/>
        <v>0.39866984565190111</v>
      </c>
      <c r="J20" s="123">
        <f t="shared" ca="1" si="8"/>
        <v>0.40256636054849665</v>
      </c>
      <c r="K20" s="123">
        <f t="shared" ca="1" si="8"/>
        <v>0.38106050487511689</v>
      </c>
      <c r="L20" s="123">
        <f t="shared" ca="1" si="8"/>
        <v>0.37533912099837224</v>
      </c>
      <c r="M20" s="123">
        <f t="shared" ca="1" si="8"/>
        <v>0.38831341301460826</v>
      </c>
    </row>
    <row r="21" spans="1:13">
      <c r="A21" s="138" t="s">
        <v>161</v>
      </c>
      <c r="B21" s="5" t="str">
        <f>'Raw Data'!B12</f>
        <v>Total</v>
      </c>
      <c r="F21" s="137">
        <f t="shared" ref="F21:M21" ca="1" si="9">OFFSET(ref_enrollment,7,1+($E$14-$D$14+1)-F$12,1,1)</f>
        <v>4080</v>
      </c>
      <c r="G21" s="137">
        <f t="shared" ca="1" si="9"/>
        <v>3447</v>
      </c>
      <c r="H21" s="137">
        <f t="shared" ca="1" si="9"/>
        <v>3739</v>
      </c>
      <c r="I21" s="137">
        <f t="shared" ca="1" si="9"/>
        <v>3177</v>
      </c>
      <c r="J21" s="137">
        <f t="shared" ca="1" si="9"/>
        <v>3200</v>
      </c>
      <c r="K21" s="137">
        <f t="shared" ca="1" si="9"/>
        <v>2853</v>
      </c>
      <c r="L21" s="137">
        <f t="shared" ca="1" si="9"/>
        <v>2767</v>
      </c>
      <c r="M21" s="137">
        <f t="shared" ca="1" si="9"/>
        <v>2924</v>
      </c>
    </row>
    <row r="22" spans="1:13">
      <c r="A22" s="119" t="s">
        <v>121</v>
      </c>
      <c r="B22" s="119" t="s">
        <v>122</v>
      </c>
      <c r="C22" s="118" t="s">
        <v>123</v>
      </c>
      <c r="D22" s="118" t="s">
        <v>124</v>
      </c>
      <c r="E22" s="118" t="s">
        <v>125</v>
      </c>
      <c r="F22" s="120">
        <f t="shared" ref="F22:M22" ca="1" si="10">OFFSET(ref_income,0,1+($E23-$D23+1)-F$12,1,1)</f>
        <v>0</v>
      </c>
      <c r="G22" s="120" t="str">
        <f t="shared" ca="1" si="10"/>
        <v>2001-02</v>
      </c>
      <c r="H22" s="120" t="str">
        <f t="shared" ca="1" si="10"/>
        <v>2002-03</v>
      </c>
      <c r="I22" s="120" t="str">
        <f t="shared" ca="1" si="10"/>
        <v>2003-04</v>
      </c>
      <c r="J22" s="120" t="str">
        <f t="shared" ca="1" si="10"/>
        <v>2004-05</v>
      </c>
      <c r="K22" s="120" t="str">
        <f t="shared" ca="1" si="10"/>
        <v>2005-06</v>
      </c>
      <c r="L22" s="120" t="str">
        <f t="shared" ca="1" si="10"/>
        <v>2006-07</v>
      </c>
      <c r="M22" s="120" t="str">
        <f t="shared" ca="1" si="10"/>
        <v>2007-08</v>
      </c>
    </row>
    <row r="23" spans="1:13">
      <c r="A23" s="119">
        <v>2</v>
      </c>
      <c r="B23" s="119" t="s">
        <v>85</v>
      </c>
      <c r="C23" s="120">
        <f>COUNTA('Raw Data'!C17:IQ17)</f>
        <v>7</v>
      </c>
      <c r="D23" s="120">
        <f>MIN('Raw Data'!C17:IQ17)</f>
        <v>2002</v>
      </c>
      <c r="E23" s="120">
        <f>MAX('Raw Data'!C17:IQ17)</f>
        <v>2008</v>
      </c>
      <c r="F23" s="120" t="str">
        <f t="shared" ref="F23" ca="1" si="11">RIGHT(F22,2)</f>
        <v>0</v>
      </c>
      <c r="G23" s="120" t="str">
        <f t="shared" ref="G23:M23" ca="1" si="12">RIGHT(G22,2)</f>
        <v>02</v>
      </c>
      <c r="H23" s="120" t="str">
        <f t="shared" ca="1" si="12"/>
        <v>03</v>
      </c>
      <c r="I23" s="120" t="str">
        <f t="shared" ca="1" si="12"/>
        <v>04</v>
      </c>
      <c r="J23" s="120" t="str">
        <f t="shared" ca="1" si="12"/>
        <v>05</v>
      </c>
      <c r="K23" s="120" t="str">
        <f t="shared" ca="1" si="12"/>
        <v>06</v>
      </c>
      <c r="L23" s="120" t="str">
        <f t="shared" ca="1" si="12"/>
        <v>07</v>
      </c>
      <c r="M23" s="120" t="str">
        <f t="shared" ca="1" si="12"/>
        <v>08</v>
      </c>
    </row>
    <row r="24" spans="1:13">
      <c r="A24" s="5" t="s">
        <v>155</v>
      </c>
      <c r="B24" s="5" t="str">
        <f>'Raw Data'!B73</f>
        <v>Net tuition &amp; fees</v>
      </c>
      <c r="F24" s="123" t="str">
        <f t="shared" ref="F24:M24" ca="1" si="13">OFFSET(ref_income,4,1+($E$23-$D$23+1)-F$12,1,1)</f>
        <v>Net tuition &amp; fees</v>
      </c>
      <c r="G24" s="123">
        <f t="shared" ca="1" si="13"/>
        <v>0.85473807406210345</v>
      </c>
      <c r="H24" s="144">
        <f t="shared" ca="1" si="13"/>
        <v>0.84900372366260435</v>
      </c>
      <c r="I24" s="144">
        <f t="shared" ca="1" si="13"/>
        <v>0.82098168420651996</v>
      </c>
      <c r="J24" s="144">
        <f t="shared" ca="1" si="13"/>
        <v>0.83222619735105963</v>
      </c>
      <c r="K24" s="144">
        <f t="shared" ca="1" si="13"/>
        <v>0.7665735411875465</v>
      </c>
      <c r="L24" s="144">
        <f t="shared" ca="1" si="13"/>
        <v>0.77975195909938511</v>
      </c>
      <c r="M24" s="144">
        <f t="shared" ca="1" si="13"/>
        <v>0.87585217804515847</v>
      </c>
    </row>
    <row r="25" spans="1:13">
      <c r="A25" s="5" t="s">
        <v>156</v>
      </c>
      <c r="B25" s="5" t="str">
        <f>'Raw Data'!B75</f>
        <v>Private gifts and grants</v>
      </c>
      <c r="F25" s="123" t="str">
        <f t="shared" ref="F25:M25" ca="1" si="14">OFFSET(ref_income,6,1+($E$23-$D$23+1)-F$12,1,1)</f>
        <v>Private gifts and grants</v>
      </c>
      <c r="G25" s="123">
        <f t="shared" ca="1" si="14"/>
        <v>3.5591537584320682E-2</v>
      </c>
      <c r="H25" s="144">
        <f t="shared" ca="1" si="14"/>
        <v>6.1746231438798663E-2</v>
      </c>
      <c r="I25" s="144">
        <f t="shared" ca="1" si="14"/>
        <v>5.5561526115554226E-2</v>
      </c>
      <c r="J25" s="144">
        <f t="shared" ca="1" si="14"/>
        <v>5.8561332135424582E-2</v>
      </c>
      <c r="K25" s="144">
        <f t="shared" ca="1" si="14"/>
        <v>0.10062781169299279</v>
      </c>
      <c r="L25" s="144">
        <f t="shared" ca="1" si="14"/>
        <v>7.0404180201666014E-2</v>
      </c>
      <c r="M25" s="144">
        <f t="shared" ca="1" si="14"/>
        <v>4.0303749972165029E-2</v>
      </c>
    </row>
    <row r="26" spans="1:13">
      <c r="A26" s="5" t="s">
        <v>157</v>
      </c>
      <c r="B26" s="5" t="str">
        <f>'Raw Data'!B76</f>
        <v>Government grants</v>
      </c>
      <c r="F26" s="123" t="str">
        <f t="shared" ref="F26:M26" ca="1" si="15">OFFSET(ref_income,7,1+($E$23-$D$23+1)-F$12,1,1)</f>
        <v>Government grants</v>
      </c>
      <c r="G26" s="123">
        <f t="shared" ca="1" si="15"/>
        <v>1.4382657310939444E-2</v>
      </c>
      <c r="H26" s="144">
        <f t="shared" ca="1" si="15"/>
        <v>1.2894531049437361E-2</v>
      </c>
      <c r="I26" s="144">
        <f t="shared" ca="1" si="15"/>
        <v>1.4831051476724788E-2</v>
      </c>
      <c r="J26" s="144">
        <f t="shared" ca="1" si="15"/>
        <v>1.5287968999981904E-2</v>
      </c>
      <c r="K26" s="144">
        <f t="shared" ca="1" si="15"/>
        <v>1.0867346234451822E-2</v>
      </c>
      <c r="L26" s="144">
        <f t="shared" ca="1" si="15"/>
        <v>9.454354492730176E-3</v>
      </c>
      <c r="M26" s="144">
        <f t="shared" ca="1" si="15"/>
        <v>1.2737891433423586E-2</v>
      </c>
    </row>
    <row r="27" spans="1:13">
      <c r="A27" s="5" t="s">
        <v>158</v>
      </c>
      <c r="B27" s="5" t="str">
        <f>'Raw Data'!B77</f>
        <v>Sponsored programs</v>
      </c>
      <c r="F27" s="123" t="str">
        <f t="shared" ref="F27:M27" ca="1" si="16">OFFSET(ref_income,8,1+($E$23-$D$23+1)-F$12,1,1)</f>
        <v>Sponsored programs</v>
      </c>
      <c r="G27" s="123">
        <f t="shared" ca="1" si="16"/>
        <v>0</v>
      </c>
      <c r="H27" s="144">
        <f t="shared" ca="1" si="16"/>
        <v>0</v>
      </c>
      <c r="I27" s="144">
        <f t="shared" ca="1" si="16"/>
        <v>0</v>
      </c>
      <c r="J27" s="144">
        <f t="shared" ca="1" si="16"/>
        <v>0</v>
      </c>
      <c r="K27" s="144">
        <f t="shared" ca="1" si="16"/>
        <v>4.035333437999813E-3</v>
      </c>
      <c r="L27" s="144">
        <f t="shared" ca="1" si="16"/>
        <v>5.2696224303132328E-3</v>
      </c>
      <c r="M27" s="144">
        <f t="shared" ca="1" si="16"/>
        <v>4.9899331478613501E-3</v>
      </c>
    </row>
    <row r="28" spans="1:13">
      <c r="A28" s="138" t="s">
        <v>159</v>
      </c>
      <c r="B28" s="5" t="str">
        <f>'Raw Data'!B78</f>
        <v>Investment income</v>
      </c>
      <c r="F28" s="123" t="str">
        <f t="shared" ref="F28:M28" ca="1" si="17">OFFSET(ref_income,9,1+($E$23-$D$23+1)-F$12,1,1)</f>
        <v>Investment income</v>
      </c>
      <c r="G28" s="123">
        <f t="shared" ca="1" si="17"/>
        <v>2.0243650941874278E-2</v>
      </c>
      <c r="H28" s="144">
        <f t="shared" ca="1" si="17"/>
        <v>1.4290760899630647E-2</v>
      </c>
      <c r="I28" s="144">
        <f t="shared" ca="1" si="17"/>
        <v>4.9128394073897214E-2</v>
      </c>
      <c r="J28" s="144">
        <f t="shared" ca="1" si="17"/>
        <v>3.0575904154784565E-2</v>
      </c>
      <c r="K28" s="144">
        <f t="shared" ca="1" si="17"/>
        <v>5.5967543330323589E-2</v>
      </c>
      <c r="L28" s="144">
        <f t="shared" ca="1" si="17"/>
        <v>7.0860313035302783E-2</v>
      </c>
      <c r="M28" s="144">
        <f t="shared" ca="1" si="17"/>
        <v>3.7828610980216462E-4</v>
      </c>
    </row>
    <row r="29" spans="1:13">
      <c r="A29" s="138" t="s">
        <v>160</v>
      </c>
      <c r="B29" s="5" t="str">
        <f>'Raw Data'!B79</f>
        <v>Auxiliary enterprises</v>
      </c>
      <c r="F29" s="123" t="str">
        <f t="shared" ref="F29:M29" ca="1" si="18">OFFSET(ref_income,10,1+($E$23-$D$23+1)-F$12,1,1)</f>
        <v>Auxiliary enterprises</v>
      </c>
      <c r="G29" s="123">
        <f t="shared" ca="1" si="18"/>
        <v>4.3636215290046181E-2</v>
      </c>
      <c r="H29" s="144">
        <f t="shared" ca="1" si="18"/>
        <v>4.5290371178130791E-2</v>
      </c>
      <c r="I29" s="144">
        <f t="shared" ca="1" si="18"/>
        <v>4.5110066852548765E-2</v>
      </c>
      <c r="J29" s="144">
        <f t="shared" ca="1" si="18"/>
        <v>4.8887894793298241E-2</v>
      </c>
      <c r="K29" s="144">
        <f t="shared" ca="1" si="18"/>
        <v>4.1304389620111376E-2</v>
      </c>
      <c r="L29" s="144">
        <f t="shared" ca="1" si="18"/>
        <v>3.8741782927508586E-2</v>
      </c>
      <c r="M29" s="144">
        <f t="shared" ca="1" si="18"/>
        <v>4.1107692795387327E-2</v>
      </c>
    </row>
    <row r="30" spans="1:13">
      <c r="A30" s="138" t="s">
        <v>161</v>
      </c>
      <c r="B30" s="5" t="str">
        <f>'Raw Data'!B80</f>
        <v>Annuity and trust gifts</v>
      </c>
      <c r="F30" s="123" t="str">
        <f t="shared" ref="F30:M30" ca="1" si="19">OFFSET(ref_income,11,1+($E$23-$D$23+1)-F$12,1,1)</f>
        <v>Annuity and trust gifts</v>
      </c>
      <c r="G30" s="123">
        <f t="shared" ca="1" si="19"/>
        <v>1.4628319396688376E-2</v>
      </c>
      <c r="H30" s="144">
        <f t="shared" ca="1" si="19"/>
        <v>4.1054572151519204E-3</v>
      </c>
      <c r="I30" s="144">
        <f t="shared" ca="1" si="19"/>
        <v>3.0073337803915437E-4</v>
      </c>
      <c r="J30" s="144">
        <f t="shared" ca="1" si="19"/>
        <v>1.1281726414614547E-4</v>
      </c>
      <c r="K30" s="144">
        <f t="shared" ca="1" si="19"/>
        <v>1.0114997419604717E-3</v>
      </c>
      <c r="L30" s="144">
        <f t="shared" ca="1" si="19"/>
        <v>8.0158970515889743E-4</v>
      </c>
      <c r="M30" s="144">
        <f t="shared" ca="1" si="19"/>
        <v>2.1958560463450189E-3</v>
      </c>
    </row>
    <row r="31" spans="1:13">
      <c r="B31" s="5" t="str">
        <f>'Raw Data'!B81</f>
        <v>Premiums earned</v>
      </c>
      <c r="F31" s="123" t="str">
        <f t="shared" ref="F31:M31" ca="1" si="20">OFFSET(ref_income,12,1+($E$23-$D$23+1)-F$12,1,1)</f>
        <v>Premiums earned</v>
      </c>
      <c r="G31" s="123">
        <f t="shared" ca="1" si="20"/>
        <v>0</v>
      </c>
      <c r="H31" s="144">
        <f t="shared" ca="1" si="20"/>
        <v>0</v>
      </c>
      <c r="I31" s="144">
        <f t="shared" ca="1" si="20"/>
        <v>0</v>
      </c>
      <c r="J31" s="144">
        <f t="shared" ca="1" si="20"/>
        <v>0</v>
      </c>
      <c r="K31" s="144">
        <f t="shared" ca="1" si="20"/>
        <v>1.0615273163522499E-2</v>
      </c>
      <c r="L31" s="144">
        <f t="shared" ca="1" si="20"/>
        <v>1.4178763896995685E-2</v>
      </c>
      <c r="M31" s="144">
        <f t="shared" ca="1" si="20"/>
        <v>1.3280237933379265E-2</v>
      </c>
    </row>
    <row r="32" spans="1:13">
      <c r="B32" s="5" t="str">
        <f>'Raw Data'!B82</f>
        <v>Other</v>
      </c>
      <c r="F32" s="123" t="str">
        <f ca="1">OFFSET(ref_income,12,1+($E$23-$D$23+1)-F$12,1,1)</f>
        <v>Premiums earned</v>
      </c>
      <c r="G32" s="123">
        <f t="shared" ref="G32:M32" ca="1" si="21">OFFSET(ref_income,13,1+($E$23-$D$23+1)-G$12,1,1)</f>
        <v>1.6779545414027635E-2</v>
      </c>
      <c r="H32" s="144">
        <f t="shared" ca="1" si="21"/>
        <v>1.2668924556246229E-2</v>
      </c>
      <c r="I32" s="144">
        <f t="shared" ca="1" si="21"/>
        <v>1.3605370491853289E-2</v>
      </c>
      <c r="J32" s="144">
        <f t="shared" ca="1" si="21"/>
        <v>1.4347885301304902E-2</v>
      </c>
      <c r="K32" s="144">
        <f t="shared" ca="1" si="21"/>
        <v>8.9972615910911512E-3</v>
      </c>
      <c r="L32" s="144">
        <f t="shared" ca="1" si="21"/>
        <v>1.0537434210939519E-2</v>
      </c>
      <c r="M32" s="144">
        <f t="shared" ca="1" si="21"/>
        <v>9.1541745164777383E-3</v>
      </c>
    </row>
    <row r="33" spans="1:13">
      <c r="B33" s="5" t="str">
        <f>'Raw Data'!B84</f>
        <v>Total revenues</v>
      </c>
      <c r="F33" s="141" t="str">
        <f t="shared" ref="F33:M33" ca="1" si="22">OFFSET(ref_income,15,1+($E$23-$D$23+1)-F$12,1,1)</f>
        <v>Total revenues</v>
      </c>
      <c r="G33" s="142">
        <f t="shared" ca="1" si="22"/>
        <v>68488387</v>
      </c>
      <c r="H33" s="145">
        <f t="shared" ca="1" si="22"/>
        <v>77457877</v>
      </c>
      <c r="I33" s="145">
        <f t="shared" ca="1" si="22"/>
        <v>83130114</v>
      </c>
      <c r="J33" s="145">
        <f t="shared" ca="1" si="22"/>
        <v>88638916</v>
      </c>
      <c r="K33" s="145">
        <f t="shared" ca="1" si="22"/>
        <v>102573432</v>
      </c>
      <c r="L33" s="145">
        <f t="shared" ca="1" si="22"/>
        <v>106039286</v>
      </c>
      <c r="M33" s="145">
        <f t="shared" ca="1" si="22"/>
        <v>100188717</v>
      </c>
    </row>
    <row r="34" spans="1:13">
      <c r="A34" s="119" t="s">
        <v>121</v>
      </c>
      <c r="B34" s="119" t="s">
        <v>122</v>
      </c>
      <c r="C34" s="118" t="s">
        <v>123</v>
      </c>
      <c r="D34" s="118" t="s">
        <v>124</v>
      </c>
      <c r="E34" s="118" t="s">
        <v>125</v>
      </c>
      <c r="F34" s="120">
        <f t="shared" ref="F34:M34" ca="1" si="23">OFFSET(ref_expense,0,1+($E35-$D35+1)-F$12,1,1)</f>
        <v>0</v>
      </c>
      <c r="G34" s="120" t="str">
        <f t="shared" ca="1" si="23"/>
        <v>2001-02</v>
      </c>
      <c r="H34" s="120" t="str">
        <f t="shared" ca="1" si="23"/>
        <v>2002-03</v>
      </c>
      <c r="I34" s="120" t="str">
        <f t="shared" ca="1" si="23"/>
        <v>2003-04</v>
      </c>
      <c r="J34" s="120" t="str">
        <f t="shared" ca="1" si="23"/>
        <v>2004-05</v>
      </c>
      <c r="K34" s="120" t="str">
        <f t="shared" ca="1" si="23"/>
        <v>2005-06</v>
      </c>
      <c r="L34" s="120" t="str">
        <f t="shared" ca="1" si="23"/>
        <v>2006-07</v>
      </c>
      <c r="M34" s="120" t="str">
        <f t="shared" ca="1" si="23"/>
        <v>2007-08</v>
      </c>
    </row>
    <row r="35" spans="1:13">
      <c r="A35" s="119">
        <v>3</v>
      </c>
      <c r="B35" s="119" t="s">
        <v>175</v>
      </c>
      <c r="C35" s="120">
        <f>COUNTA('Raw Data'!C17:IQ17)</f>
        <v>7</v>
      </c>
      <c r="D35" s="120">
        <f>MIN('Raw Data'!C17:IQ17)</f>
        <v>2002</v>
      </c>
      <c r="E35" s="120">
        <f>MAX('Raw Data'!C17:IQ17)</f>
        <v>2008</v>
      </c>
      <c r="F35" s="120" t="str">
        <f t="shared" ref="F35:M35" ca="1" si="24">RIGHT(F34,2)</f>
        <v>0</v>
      </c>
      <c r="G35" s="120" t="str">
        <f t="shared" ca="1" si="24"/>
        <v>02</v>
      </c>
      <c r="H35" s="120" t="str">
        <f t="shared" ca="1" si="24"/>
        <v>03</v>
      </c>
      <c r="I35" s="120" t="str">
        <f t="shared" ca="1" si="24"/>
        <v>04</v>
      </c>
      <c r="J35" s="120" t="str">
        <f t="shared" ca="1" si="24"/>
        <v>05</v>
      </c>
      <c r="K35" s="120" t="str">
        <f t="shared" ca="1" si="24"/>
        <v>06</v>
      </c>
      <c r="L35" s="120" t="str">
        <f t="shared" ca="1" si="24"/>
        <v>07</v>
      </c>
      <c r="M35" s="120" t="str">
        <f t="shared" ca="1" si="24"/>
        <v>08</v>
      </c>
    </row>
    <row r="36" spans="1:13">
      <c r="A36" s="5" t="s">
        <v>155</v>
      </c>
      <c r="B36" s="147" t="str">
        <f>'Raw Data'!B101</f>
        <v>Instruction</v>
      </c>
      <c r="F36" s="144" t="str">
        <f t="shared" ref="F36:M36" ca="1" si="25">OFFSET(ref_expense,1,1+($E$23-$D$23+1)-F$12,1,1)</f>
        <v>Instruction</v>
      </c>
      <c r="G36" s="144">
        <f t="shared" ca="1" si="25"/>
        <v>0.49752565292384238</v>
      </c>
      <c r="H36" s="144">
        <f t="shared" ca="1" si="25"/>
        <v>0.5153172012945787</v>
      </c>
      <c r="I36" s="144">
        <f t="shared" ca="1" si="25"/>
        <v>0.53891716091704567</v>
      </c>
      <c r="J36" s="144">
        <f t="shared" ca="1" si="25"/>
        <v>0.50553346999289972</v>
      </c>
      <c r="K36" s="144">
        <f t="shared" ca="1" si="25"/>
        <v>0.45628543588127685</v>
      </c>
      <c r="L36" s="144">
        <f t="shared" ca="1" si="25"/>
        <v>0.46630968299892023</v>
      </c>
      <c r="M36" s="144">
        <f t="shared" ca="1" si="25"/>
        <v>0.4499780795236219</v>
      </c>
    </row>
    <row r="37" spans="1:13">
      <c r="A37" s="5" t="s">
        <v>156</v>
      </c>
      <c r="B37" s="147" t="str">
        <f>'Raw Data'!B102</f>
        <v>Academic support</v>
      </c>
      <c r="F37" s="144" t="str">
        <f t="shared" ref="F37:M37" ca="1" si="26">OFFSET(ref_expense,2,1+($E$23-$D$23+1)-F$12,1,1)</f>
        <v>Academic support</v>
      </c>
      <c r="G37" s="144">
        <f t="shared" ca="1" si="26"/>
        <v>0.12134961567798901</v>
      </c>
      <c r="H37" s="144">
        <f t="shared" ca="1" si="26"/>
        <v>0.12011225534003626</v>
      </c>
      <c r="I37" s="144">
        <f t="shared" ca="1" si="26"/>
        <v>0.11516436495979271</v>
      </c>
      <c r="J37" s="144">
        <f t="shared" ca="1" si="26"/>
        <v>0.17603059775594621</v>
      </c>
      <c r="K37" s="144">
        <f t="shared" ca="1" si="26"/>
        <v>0.15567728228323291</v>
      </c>
      <c r="L37" s="144">
        <f t="shared" ca="1" si="26"/>
        <v>0.14618284369014459</v>
      </c>
      <c r="M37" s="144">
        <f t="shared" ca="1" si="26"/>
        <v>0.15067120040131593</v>
      </c>
    </row>
    <row r="38" spans="1:13">
      <c r="A38" s="5" t="s">
        <v>157</v>
      </c>
      <c r="B38" s="147" t="str">
        <f>'Raw Data'!B103</f>
        <v>Student services</v>
      </c>
      <c r="F38" s="144" t="str">
        <f t="shared" ref="F38:M38" ca="1" si="27">OFFSET(ref_expense,3,1+($E$23-$D$23+1)-F$12,1,1)</f>
        <v>Student services</v>
      </c>
      <c r="G38" s="144">
        <f t="shared" ca="1" si="27"/>
        <v>0.13459642363964694</v>
      </c>
      <c r="H38" s="144">
        <f t="shared" ca="1" si="27"/>
        <v>0.13661205493812259</v>
      </c>
      <c r="I38" s="144">
        <f t="shared" ca="1" si="27"/>
        <v>0.13337733996540746</v>
      </c>
      <c r="J38" s="144">
        <f t="shared" ca="1" si="27"/>
        <v>0.13016148352858783</v>
      </c>
      <c r="K38" s="144">
        <f t="shared" ca="1" si="27"/>
        <v>0.12482283303705774</v>
      </c>
      <c r="L38" s="144">
        <f t="shared" ca="1" si="27"/>
        <v>0.11245907528058076</v>
      </c>
      <c r="M38" s="144">
        <f t="shared" ca="1" si="27"/>
        <v>0.11692563575023866</v>
      </c>
    </row>
    <row r="39" spans="1:13">
      <c r="A39" s="5" t="s">
        <v>158</v>
      </c>
      <c r="B39" s="147" t="str">
        <f>'Raw Data'!B104</f>
        <v>Institutional support</v>
      </c>
      <c r="F39" s="144" t="str">
        <f t="shared" ref="F39:M39" ca="1" si="28">OFFSET(ref_expense,4,1+($E$23-$D$23+1)-F$12,1,1)</f>
        <v>Institutional support</v>
      </c>
      <c r="G39" s="144">
        <f t="shared" ca="1" si="28"/>
        <v>0.1879931749429625</v>
      </c>
      <c r="H39" s="144">
        <f t="shared" ca="1" si="28"/>
        <v>0.17207166644848207</v>
      </c>
      <c r="I39" s="144">
        <f t="shared" ca="1" si="28"/>
        <v>0.15588244836554821</v>
      </c>
      <c r="J39" s="144">
        <f t="shared" ca="1" si="28"/>
        <v>0.13465597043657973</v>
      </c>
      <c r="K39" s="144">
        <f t="shared" ca="1" si="28"/>
        <v>0.22156617077393165</v>
      </c>
      <c r="L39" s="144">
        <f t="shared" ca="1" si="28"/>
        <v>0.24555066865426836</v>
      </c>
      <c r="M39" s="144">
        <f t="shared" ca="1" si="28"/>
        <v>0.25803657952496478</v>
      </c>
    </row>
    <row r="40" spans="1:13">
      <c r="A40" s="138" t="s">
        <v>159</v>
      </c>
      <c r="B40" s="147" t="str">
        <f>'Raw Data'!B105</f>
        <v>Auxiliary enterprises</v>
      </c>
      <c r="F40" s="144" t="str">
        <f t="shared" ref="F40:M40" ca="1" si="29">OFFSET(ref_expense,5,1+($E$23-$D$23+1)-F$12,1,1)</f>
        <v>Auxiliary enterprises</v>
      </c>
      <c r="G40" s="144">
        <f t="shared" ca="1" si="29"/>
        <v>5.8535132815559172E-2</v>
      </c>
      <c r="H40" s="144">
        <f t="shared" ca="1" si="29"/>
        <v>5.5886821978780352E-2</v>
      </c>
      <c r="I40" s="144">
        <f t="shared" ca="1" si="29"/>
        <v>5.6658685792206002E-2</v>
      </c>
      <c r="J40" s="144">
        <f t="shared" ca="1" si="29"/>
        <v>5.3618478285986523E-2</v>
      </c>
      <c r="K40" s="144">
        <f t="shared" ca="1" si="29"/>
        <v>4.1648278024500815E-2</v>
      </c>
      <c r="L40" s="144">
        <f t="shared" ca="1" si="29"/>
        <v>2.9497729376086076E-2</v>
      </c>
      <c r="M40" s="144">
        <f t="shared" ca="1" si="29"/>
        <v>2.4388504799858733E-2</v>
      </c>
    </row>
    <row r="41" spans="1:13" ht="13.5" customHeight="1">
      <c r="A41" s="138" t="s">
        <v>160</v>
      </c>
      <c r="B41" s="147" t="str">
        <f>'Raw Data'!B107</f>
        <v>Total expenses</v>
      </c>
      <c r="F41" s="142" t="str">
        <f t="shared" ref="F41:M41" ca="1" si="30">OFFSET(ref_expense,7,1+($E$23-$D$23+1)-F$12,1,1)</f>
        <v>Total expenses</v>
      </c>
      <c r="G41" s="142">
        <f t="shared" ca="1" si="30"/>
        <v>74838935</v>
      </c>
      <c r="H41" s="142">
        <f t="shared" ca="1" si="30"/>
        <v>79290660</v>
      </c>
      <c r="I41" s="142">
        <f t="shared" ca="1" si="30"/>
        <v>79366825</v>
      </c>
      <c r="J41" s="142">
        <f t="shared" ca="1" si="30"/>
        <v>84993684</v>
      </c>
      <c r="K41" s="142">
        <f t="shared" ca="1" si="30"/>
        <v>90409068</v>
      </c>
      <c r="L41" s="142">
        <f t="shared" ca="1" si="30"/>
        <v>90130734</v>
      </c>
      <c r="M41" s="142">
        <f t="shared" ca="1" si="30"/>
        <v>97919861</v>
      </c>
    </row>
    <row r="42" spans="1:13">
      <c r="A42" s="119" t="s">
        <v>121</v>
      </c>
      <c r="B42" s="119" t="s">
        <v>122</v>
      </c>
      <c r="C42" s="118" t="s">
        <v>123</v>
      </c>
      <c r="D42" s="118" t="s">
        <v>124</v>
      </c>
      <c r="E42" s="118" t="s">
        <v>125</v>
      </c>
      <c r="F42" s="120">
        <f t="shared" ref="F42:M42" ca="1" si="31">OFFSET(ref_applicant,0,1+($E43-$D43+1)-F$12,1,1)</f>
        <v>2001</v>
      </c>
      <c r="G42" s="120">
        <f t="shared" ca="1" si="31"/>
        <v>2002</v>
      </c>
      <c r="H42" s="120">
        <f t="shared" ca="1" si="31"/>
        <v>2003</v>
      </c>
      <c r="I42" s="120">
        <f t="shared" ca="1" si="31"/>
        <v>2004</v>
      </c>
      <c r="J42" s="120">
        <f t="shared" ca="1" si="31"/>
        <v>2005</v>
      </c>
      <c r="K42" s="120">
        <f t="shared" ca="1" si="31"/>
        <v>2006</v>
      </c>
      <c r="L42" s="120">
        <f t="shared" ca="1" si="31"/>
        <v>2007</v>
      </c>
      <c r="M42" s="120">
        <f t="shared" ca="1" si="31"/>
        <v>2008</v>
      </c>
    </row>
    <row r="43" spans="1:13">
      <c r="A43" s="119">
        <v>4</v>
      </c>
      <c r="B43" s="119" t="s">
        <v>144</v>
      </c>
      <c r="C43" s="120">
        <f>COUNTA('Raw Data'!C110:IQ110)</f>
        <v>8</v>
      </c>
      <c r="D43" s="120">
        <f>MIN('Raw Data'!C110:IQ110)</f>
        <v>2001</v>
      </c>
      <c r="E43" s="120">
        <f>MAX('Raw Data'!C110:IQ110)</f>
        <v>2008</v>
      </c>
      <c r="F43" s="120" t="str">
        <f t="shared" ref="F43:M43" ca="1" si="32">RIGHT(F42,2)</f>
        <v>01</v>
      </c>
      <c r="G43" s="120" t="str">
        <f t="shared" ca="1" si="32"/>
        <v>02</v>
      </c>
      <c r="H43" s="120" t="str">
        <f t="shared" ca="1" si="32"/>
        <v>03</v>
      </c>
      <c r="I43" s="120" t="str">
        <f t="shared" ca="1" si="32"/>
        <v>04</v>
      </c>
      <c r="J43" s="120" t="str">
        <f t="shared" ca="1" si="32"/>
        <v>05</v>
      </c>
      <c r="K43" s="120" t="str">
        <f t="shared" ca="1" si="32"/>
        <v>06</v>
      </c>
      <c r="L43" s="120" t="str">
        <f t="shared" ca="1" si="32"/>
        <v>07</v>
      </c>
      <c r="M43" s="120" t="str">
        <f t="shared" ca="1" si="32"/>
        <v>08</v>
      </c>
    </row>
    <row r="44" spans="1:13">
      <c r="A44" s="5" t="s">
        <v>155</v>
      </c>
      <c r="B44" s="152" t="str">
        <f>'Raw Data'!B111</f>
        <v>FTFT Freshman</v>
      </c>
      <c r="F44" s="142">
        <f t="shared" ref="F44:M44" ca="1" si="33">OFFSET(ref_applicant,1,1+($E$43-$D$43+1)-F$12,1,1)</f>
        <v>1165</v>
      </c>
      <c r="G44" s="142">
        <f t="shared" ca="1" si="33"/>
        <v>1261</v>
      </c>
      <c r="H44" s="142">
        <f t="shared" ca="1" si="33"/>
        <v>1399</v>
      </c>
      <c r="I44" s="142">
        <f t="shared" ca="1" si="33"/>
        <v>1654</v>
      </c>
      <c r="J44" s="142">
        <f t="shared" ca="1" si="33"/>
        <v>1638</v>
      </c>
      <c r="K44" s="142">
        <f t="shared" ca="1" si="33"/>
        <v>1609</v>
      </c>
      <c r="L44" s="142">
        <f t="shared" ca="1" si="33"/>
        <v>1540</v>
      </c>
      <c r="M44" s="142">
        <f t="shared" ca="1" si="33"/>
        <v>1659</v>
      </c>
    </row>
    <row r="45" spans="1:13">
      <c r="A45" s="5" t="s">
        <v>156</v>
      </c>
      <c r="B45" s="152" t="str">
        <f>'Raw Data'!B112</f>
        <v>MC Transfers</v>
      </c>
      <c r="F45" s="142">
        <f t="shared" ref="F45:M45" ca="1" si="34">OFFSET(ref_applicant,2,1+($E$43-$D$43+1)-F$12,1,1)</f>
        <v>0</v>
      </c>
      <c r="G45" s="142">
        <f t="shared" ca="1" si="34"/>
        <v>0</v>
      </c>
      <c r="H45" s="142">
        <f t="shared" ca="1" si="34"/>
        <v>0</v>
      </c>
      <c r="I45" s="142">
        <f t="shared" ca="1" si="34"/>
        <v>449</v>
      </c>
      <c r="J45" s="142">
        <f t="shared" ca="1" si="34"/>
        <v>406</v>
      </c>
      <c r="K45" s="142">
        <f t="shared" ca="1" si="34"/>
        <v>379</v>
      </c>
      <c r="L45" s="142">
        <f t="shared" ca="1" si="34"/>
        <v>335</v>
      </c>
      <c r="M45" s="142">
        <f t="shared" ca="1" si="34"/>
        <v>312</v>
      </c>
    </row>
    <row r="46" spans="1:13">
      <c r="A46" s="5" t="s">
        <v>157</v>
      </c>
      <c r="B46" s="152" t="str">
        <f>'Raw Data'!B113</f>
        <v>CAPA</v>
      </c>
      <c r="F46" s="142">
        <f t="shared" ref="F46:M46" ca="1" si="35">OFFSET(ref_applicant,3,1+($E$43-$D$43+1)-F$12,1,1)</f>
        <v>0</v>
      </c>
      <c r="G46" s="142">
        <f t="shared" ca="1" si="35"/>
        <v>0</v>
      </c>
      <c r="H46" s="142">
        <f t="shared" ca="1" si="35"/>
        <v>0</v>
      </c>
      <c r="I46" s="142">
        <f t="shared" ca="1" si="35"/>
        <v>206</v>
      </c>
      <c r="J46" s="142">
        <f t="shared" ca="1" si="35"/>
        <v>150</v>
      </c>
      <c r="K46" s="142">
        <f t="shared" ca="1" si="35"/>
        <v>160</v>
      </c>
      <c r="L46" s="142">
        <f t="shared" ca="1" si="35"/>
        <v>111</v>
      </c>
      <c r="M46" s="142">
        <f t="shared" ca="1" si="35"/>
        <v>114</v>
      </c>
    </row>
    <row r="47" spans="1:13">
      <c r="A47" s="5" t="s">
        <v>158</v>
      </c>
      <c r="B47" s="152" t="str">
        <f>'Raw Data'!B114</f>
        <v>RCA Transfers</v>
      </c>
      <c r="F47" s="142">
        <f t="shared" ref="F47:M47" ca="1" si="36">OFFSET(ref_applicant,4,1+($E$43-$D$43+1)-F$12,1,1)</f>
        <v>0</v>
      </c>
      <c r="G47" s="142">
        <f t="shared" ca="1" si="36"/>
        <v>0</v>
      </c>
      <c r="H47" s="142">
        <f t="shared" ca="1" si="36"/>
        <v>0</v>
      </c>
      <c r="I47" s="142">
        <f t="shared" ca="1" si="36"/>
        <v>528</v>
      </c>
      <c r="J47" s="142">
        <f t="shared" ca="1" si="36"/>
        <v>388</v>
      </c>
      <c r="K47" s="142">
        <f t="shared" ca="1" si="36"/>
        <v>304</v>
      </c>
      <c r="L47" s="142">
        <f t="shared" ca="1" si="36"/>
        <v>466</v>
      </c>
      <c r="M47" s="142">
        <f t="shared" ca="1" si="36"/>
        <v>267</v>
      </c>
    </row>
    <row r="48" spans="1:13">
      <c r="A48" s="138" t="s">
        <v>159</v>
      </c>
      <c r="B48" s="152" t="str">
        <f>'Raw Data'!B115</f>
        <v>MC Masters</v>
      </c>
      <c r="F48" s="142">
        <f t="shared" ref="F48:M48" ca="1" si="37">OFFSET(ref_applicant,5,1+($E$43-$D$43+1)-F$12,1,1)</f>
        <v>0</v>
      </c>
      <c r="G48" s="142">
        <f t="shared" ca="1" si="37"/>
        <v>0</v>
      </c>
      <c r="H48" s="142">
        <f t="shared" ca="1" si="37"/>
        <v>0</v>
      </c>
      <c r="I48" s="142">
        <f t="shared" ca="1" si="37"/>
        <v>380</v>
      </c>
      <c r="J48" s="142">
        <f t="shared" ca="1" si="37"/>
        <v>262</v>
      </c>
      <c r="K48" s="142">
        <f t="shared" ca="1" si="37"/>
        <v>280</v>
      </c>
      <c r="L48" s="142">
        <f t="shared" ca="1" si="37"/>
        <v>329</v>
      </c>
      <c r="M48" s="142">
        <f t="shared" ca="1" si="37"/>
        <v>475</v>
      </c>
    </row>
    <row r="49" spans="1:13">
      <c r="A49" s="138" t="s">
        <v>160</v>
      </c>
      <c r="B49" s="152" t="str">
        <f>'Raw Data'!B116</f>
        <v>RCA Masters</v>
      </c>
      <c r="F49" s="142">
        <f t="shared" ref="F49:M49" ca="1" si="38">OFFSET(ref_applicant,6,1+($E$43-$D$43+1)-F$12,1,1)</f>
        <v>0</v>
      </c>
      <c r="G49" s="142">
        <f t="shared" ca="1" si="38"/>
        <v>0</v>
      </c>
      <c r="H49" s="142">
        <f t="shared" ca="1" si="38"/>
        <v>0</v>
      </c>
      <c r="I49" s="142">
        <f t="shared" ca="1" si="38"/>
        <v>398</v>
      </c>
      <c r="J49" s="142">
        <f t="shared" ca="1" si="38"/>
        <v>416</v>
      </c>
      <c r="K49" s="142">
        <f t="shared" ca="1" si="38"/>
        <v>315</v>
      </c>
      <c r="L49" s="142">
        <f t="shared" ca="1" si="38"/>
        <v>349</v>
      </c>
      <c r="M49" s="142">
        <f t="shared" ca="1" si="38"/>
        <v>474</v>
      </c>
    </row>
    <row r="50" spans="1:13">
      <c r="A50" s="138" t="s">
        <v>161</v>
      </c>
      <c r="B50" s="152" t="str">
        <f>'Raw Data'!B117</f>
        <v>Doctoral</v>
      </c>
      <c r="F50" s="142">
        <f t="shared" ref="F50:M50" ca="1" si="39">OFFSET(ref_applicant,7,1+($E$43-$D$43+1)-F$12,1,1)</f>
        <v>0</v>
      </c>
      <c r="G50" s="142">
        <f t="shared" ca="1" si="39"/>
        <v>0</v>
      </c>
      <c r="H50" s="142">
        <f t="shared" ca="1" si="39"/>
        <v>0</v>
      </c>
      <c r="I50" s="142">
        <f t="shared" ca="1" si="39"/>
        <v>166</v>
      </c>
      <c r="J50" s="142">
        <f t="shared" ca="1" si="39"/>
        <v>126</v>
      </c>
      <c r="K50" s="142">
        <f t="shared" ca="1" si="39"/>
        <v>88</v>
      </c>
      <c r="L50" s="142">
        <f t="shared" ca="1" si="39"/>
        <v>79</v>
      </c>
      <c r="M50" s="142">
        <f t="shared" ca="1" si="39"/>
        <v>89</v>
      </c>
    </row>
    <row r="51" spans="1:13">
      <c r="A51" s="138" t="s">
        <v>188</v>
      </c>
      <c r="B51" s="152" t="str">
        <f>'Raw Data'!B118</f>
        <v>Law</v>
      </c>
      <c r="F51" s="142">
        <f t="shared" ref="F51:M51" ca="1" si="40">OFFSET(ref_applicant,8,1+($E$43-$D$43+1)-F$12,1,1)</f>
        <v>147</v>
      </c>
      <c r="G51" s="142">
        <f t="shared" ca="1" si="40"/>
        <v>297</v>
      </c>
      <c r="H51" s="142">
        <f t="shared" ca="1" si="40"/>
        <v>619</v>
      </c>
      <c r="I51" s="142">
        <f t="shared" ca="1" si="40"/>
        <v>591</v>
      </c>
      <c r="J51" s="142">
        <f t="shared" ca="1" si="40"/>
        <v>469</v>
      </c>
      <c r="K51" s="142">
        <f t="shared" ca="1" si="40"/>
        <v>383</v>
      </c>
      <c r="L51" s="142">
        <f t="shared" ca="1" si="40"/>
        <v>934</v>
      </c>
      <c r="M51" s="142">
        <f t="shared" ca="1" si="40"/>
        <v>1494</v>
      </c>
    </row>
    <row r="52" spans="1:13">
      <c r="A52" s="119" t="s">
        <v>121</v>
      </c>
      <c r="B52" s="119" t="s">
        <v>122</v>
      </c>
      <c r="C52" s="118" t="s">
        <v>123</v>
      </c>
      <c r="D52" s="118" t="s">
        <v>124</v>
      </c>
      <c r="E52" s="118" t="s">
        <v>125</v>
      </c>
      <c r="F52" s="120">
        <f ca="1">OFFSET(ref_new,0,1+($E53-$D53+1)-F$12,1,1)</f>
        <v>2001</v>
      </c>
      <c r="G52" s="120">
        <f t="shared" ref="G52:M52" ca="1" si="41">OFFSET(ref_applicant,0,1+($E53-$D53+1)-G$12,1,1)</f>
        <v>2002</v>
      </c>
      <c r="H52" s="120">
        <f t="shared" ca="1" si="41"/>
        <v>2003</v>
      </c>
      <c r="I52" s="120">
        <f t="shared" ca="1" si="41"/>
        <v>2004</v>
      </c>
      <c r="J52" s="120">
        <f t="shared" ca="1" si="41"/>
        <v>2005</v>
      </c>
      <c r="K52" s="120">
        <f t="shared" ca="1" si="41"/>
        <v>2006</v>
      </c>
      <c r="L52" s="120">
        <f t="shared" ca="1" si="41"/>
        <v>2007</v>
      </c>
      <c r="M52" s="120">
        <f t="shared" ca="1" si="41"/>
        <v>2008</v>
      </c>
    </row>
    <row r="53" spans="1:13">
      <c r="A53" s="119">
        <v>5</v>
      </c>
      <c r="B53" s="119" t="s">
        <v>77</v>
      </c>
      <c r="C53" s="120">
        <f>COUNTA('Raw Data'!C120:IQ120)</f>
        <v>8</v>
      </c>
      <c r="D53" s="120">
        <f>MIN('Raw Data'!C120:IQ120)</f>
        <v>2001</v>
      </c>
      <c r="E53" s="120">
        <f>MAX('Raw Data'!C120:IQ120)</f>
        <v>2008</v>
      </c>
      <c r="F53" s="120" t="str">
        <f t="shared" ref="F53:M53" ca="1" si="42">RIGHT(F52,2)</f>
        <v>01</v>
      </c>
      <c r="G53" s="120" t="str">
        <f t="shared" ca="1" si="42"/>
        <v>02</v>
      </c>
      <c r="H53" s="120" t="str">
        <f t="shared" ca="1" si="42"/>
        <v>03</v>
      </c>
      <c r="I53" s="120" t="str">
        <f t="shared" ca="1" si="42"/>
        <v>04</v>
      </c>
      <c r="J53" s="120" t="str">
        <f t="shared" ca="1" si="42"/>
        <v>05</v>
      </c>
      <c r="K53" s="120" t="str">
        <f t="shared" ca="1" si="42"/>
        <v>06</v>
      </c>
      <c r="L53" s="120" t="str">
        <f t="shared" ca="1" si="42"/>
        <v>07</v>
      </c>
      <c r="M53" s="120" t="str">
        <f t="shared" ca="1" si="42"/>
        <v>08</v>
      </c>
    </row>
    <row r="54" spans="1:13">
      <c r="A54" s="5" t="s">
        <v>155</v>
      </c>
      <c r="B54" s="152" t="str">
        <f>'Raw Data'!B121</f>
        <v>FTFT Freshman</v>
      </c>
      <c r="F54" s="142">
        <f t="shared" ref="F54:M54" ca="1" si="43">OFFSET(ref_new,1,1+($E$43-$D$43+1)-F$12,1,1)</f>
        <v>311</v>
      </c>
      <c r="G54" s="142">
        <f t="shared" ca="1" si="43"/>
        <v>299</v>
      </c>
      <c r="H54" s="142">
        <f t="shared" ca="1" si="43"/>
        <v>290</v>
      </c>
      <c r="I54" s="142">
        <f t="shared" ca="1" si="43"/>
        <v>379</v>
      </c>
      <c r="J54" s="142">
        <f t="shared" ca="1" si="43"/>
        <v>342</v>
      </c>
      <c r="K54" s="142">
        <f t="shared" ca="1" si="43"/>
        <v>319</v>
      </c>
      <c r="L54" s="142">
        <f t="shared" ca="1" si="43"/>
        <v>335</v>
      </c>
      <c r="M54" s="142">
        <f t="shared" ca="1" si="43"/>
        <v>302</v>
      </c>
    </row>
    <row r="55" spans="1:13">
      <c r="A55" s="5" t="s">
        <v>156</v>
      </c>
      <c r="B55" s="152" t="str">
        <f>'Raw Data'!B122</f>
        <v>MC Transfers</v>
      </c>
      <c r="F55" s="142">
        <f t="shared" ref="F55:M55" ca="1" si="44">OFFSET(ref_new,2,1+($E$43-$D$43+1)-F$12,1,1)</f>
        <v>119</v>
      </c>
      <c r="G55" s="142">
        <f t="shared" ca="1" si="44"/>
        <v>107</v>
      </c>
      <c r="H55" s="142">
        <f t="shared" ca="1" si="44"/>
        <v>109</v>
      </c>
      <c r="I55" s="142">
        <f t="shared" ca="1" si="44"/>
        <v>153</v>
      </c>
      <c r="J55" s="142">
        <f t="shared" ca="1" si="44"/>
        <v>130</v>
      </c>
      <c r="K55" s="142">
        <f t="shared" ca="1" si="44"/>
        <v>148</v>
      </c>
      <c r="L55" s="142">
        <f t="shared" ca="1" si="44"/>
        <v>136</v>
      </c>
      <c r="M55" s="142">
        <f t="shared" ca="1" si="44"/>
        <v>118</v>
      </c>
    </row>
    <row r="56" spans="1:13">
      <c r="A56" s="5" t="s">
        <v>157</v>
      </c>
      <c r="B56" s="152" t="str">
        <f>'Raw Data'!B123</f>
        <v>CAPA</v>
      </c>
      <c r="F56" s="142">
        <f t="shared" ref="F56:M56" ca="1" si="45">OFFSET(ref_new,3,1+($E$43-$D$43+1)-F$12,1,1)</f>
        <v>156</v>
      </c>
      <c r="G56" s="142">
        <f t="shared" ca="1" si="45"/>
        <v>150</v>
      </c>
      <c r="H56" s="142">
        <f t="shared" ca="1" si="45"/>
        <v>102</v>
      </c>
      <c r="I56" s="142">
        <f t="shared" ca="1" si="45"/>
        <v>179</v>
      </c>
      <c r="J56" s="142">
        <f t="shared" ca="1" si="45"/>
        <v>134</v>
      </c>
      <c r="K56" s="142">
        <f t="shared" ca="1" si="45"/>
        <v>154</v>
      </c>
      <c r="L56" s="142">
        <f t="shared" ca="1" si="45"/>
        <v>140</v>
      </c>
      <c r="M56" s="142">
        <f t="shared" ca="1" si="45"/>
        <v>114</v>
      </c>
    </row>
    <row r="57" spans="1:13">
      <c r="A57" s="5" t="s">
        <v>158</v>
      </c>
      <c r="B57" s="152" t="str">
        <f>'Raw Data'!B124</f>
        <v>RCA Transfers</v>
      </c>
      <c r="F57" s="142">
        <f t="shared" ref="F57:M57" ca="1" si="46">OFFSET(ref_new,4,1+($E$43-$D$43+1)-F$12,1,1)</f>
        <v>167</v>
      </c>
      <c r="G57" s="142">
        <f t="shared" ca="1" si="46"/>
        <v>225</v>
      </c>
      <c r="H57" s="142">
        <f t="shared" ca="1" si="46"/>
        <v>242</v>
      </c>
      <c r="I57" s="142">
        <f t="shared" ca="1" si="46"/>
        <v>296</v>
      </c>
      <c r="J57" s="142">
        <f t="shared" ca="1" si="46"/>
        <v>321</v>
      </c>
      <c r="K57" s="142">
        <f t="shared" ca="1" si="46"/>
        <v>301</v>
      </c>
      <c r="L57" s="142">
        <f t="shared" ca="1" si="46"/>
        <v>263</v>
      </c>
      <c r="M57" s="142">
        <f t="shared" ca="1" si="46"/>
        <v>256</v>
      </c>
    </row>
    <row r="58" spans="1:13">
      <c r="A58" s="138" t="s">
        <v>159</v>
      </c>
      <c r="B58" s="152" t="str">
        <f>'Raw Data'!B125</f>
        <v>MC Masters</v>
      </c>
      <c r="F58" s="142">
        <f t="shared" ref="F58:M58" ca="1" si="47">OFFSET(ref_new,5,1+($E$43-$D$43+1)-F$12,1,1)</f>
        <v>323</v>
      </c>
      <c r="G58" s="142">
        <f t="shared" ca="1" si="47"/>
        <v>391</v>
      </c>
      <c r="H58" s="142">
        <f t="shared" ca="1" si="47"/>
        <v>449</v>
      </c>
      <c r="I58" s="142">
        <f t="shared" ca="1" si="47"/>
        <v>405</v>
      </c>
      <c r="J58" s="142">
        <f t="shared" ca="1" si="47"/>
        <v>379</v>
      </c>
      <c r="K58" s="142">
        <f t="shared" ca="1" si="47"/>
        <v>327</v>
      </c>
      <c r="L58" s="142">
        <f t="shared" ca="1" si="47"/>
        <v>378</v>
      </c>
      <c r="M58" s="142">
        <f t="shared" ca="1" si="47"/>
        <v>375</v>
      </c>
    </row>
    <row r="59" spans="1:13">
      <c r="A59" s="138" t="s">
        <v>160</v>
      </c>
      <c r="B59" s="152" t="str">
        <f>'Raw Data'!B126</f>
        <v>RCA Masters</v>
      </c>
      <c r="F59" s="142">
        <f t="shared" ref="F59:M59" ca="1" si="48">OFFSET(ref_new,6,1+($E$43-$D$43+1)-F$12,1,1)</f>
        <v>301</v>
      </c>
      <c r="G59" s="142">
        <f t="shared" ca="1" si="48"/>
        <v>273</v>
      </c>
      <c r="H59" s="142">
        <f t="shared" ca="1" si="48"/>
        <v>241</v>
      </c>
      <c r="I59" s="142">
        <f t="shared" ca="1" si="48"/>
        <v>233</v>
      </c>
      <c r="J59" s="142">
        <f t="shared" ca="1" si="48"/>
        <v>264</v>
      </c>
      <c r="K59" s="142">
        <f t="shared" ca="1" si="48"/>
        <v>202</v>
      </c>
      <c r="L59" s="142">
        <f t="shared" ca="1" si="48"/>
        <v>202</v>
      </c>
      <c r="M59" s="142">
        <f t="shared" ca="1" si="48"/>
        <v>176</v>
      </c>
    </row>
    <row r="60" spans="1:13">
      <c r="A60" s="138" t="s">
        <v>161</v>
      </c>
      <c r="B60" s="152" t="str">
        <f>'Raw Data'!B127</f>
        <v>Doctoral</v>
      </c>
      <c r="F60" s="142">
        <f t="shared" ref="F60:M60" ca="1" si="49">OFFSET(ref_new,7,1+($E$43-$D$43+1)-F$12,1,1)</f>
        <v>101</v>
      </c>
      <c r="G60" s="142">
        <f t="shared" ca="1" si="49"/>
        <v>87</v>
      </c>
      <c r="H60" s="142">
        <f t="shared" ca="1" si="49"/>
        <v>62</v>
      </c>
      <c r="I60" s="142">
        <f t="shared" ca="1" si="49"/>
        <v>85</v>
      </c>
      <c r="J60" s="142">
        <f t="shared" ca="1" si="49"/>
        <v>70</v>
      </c>
      <c r="K60" s="142">
        <f t="shared" ca="1" si="49"/>
        <v>60</v>
      </c>
      <c r="L60" s="142">
        <f t="shared" ca="1" si="49"/>
        <v>89</v>
      </c>
      <c r="M60" s="142">
        <f t="shared" ca="1" si="49"/>
        <v>77</v>
      </c>
    </row>
    <row r="61" spans="1:13">
      <c r="A61" s="138" t="s">
        <v>188</v>
      </c>
      <c r="B61" s="152" t="str">
        <f>'Raw Data'!B128</f>
        <v>Law</v>
      </c>
      <c r="F61" s="142">
        <f t="shared" ref="F61:M61" ca="1" si="50">OFFSET(ref_new,8,1+($E$43-$D$43+1)-F$12,1,1)</f>
        <v>36</v>
      </c>
      <c r="G61" s="142">
        <f t="shared" ca="1" si="50"/>
        <v>54</v>
      </c>
      <c r="H61" s="142">
        <f t="shared" ca="1" si="50"/>
        <v>104</v>
      </c>
      <c r="I61" s="142">
        <f t="shared" ca="1" si="50"/>
        <v>80</v>
      </c>
      <c r="J61" s="142">
        <f t="shared" ca="1" si="50"/>
        <v>78</v>
      </c>
      <c r="K61" s="142">
        <f t="shared" ca="1" si="50"/>
        <v>85</v>
      </c>
      <c r="L61" s="142">
        <f t="shared" ca="1" si="50"/>
        <v>114</v>
      </c>
      <c r="M61" s="142">
        <f t="shared" ca="1" si="50"/>
        <v>140</v>
      </c>
    </row>
    <row r="62" spans="1:13" ht="25.5" customHeight="1">
      <c r="A62" s="119" t="s">
        <v>121</v>
      </c>
      <c r="B62" s="119" t="s">
        <v>122</v>
      </c>
      <c r="C62" s="118" t="s">
        <v>123</v>
      </c>
      <c r="D62" s="118" t="s">
        <v>124</v>
      </c>
      <c r="E62" s="118" t="s">
        <v>125</v>
      </c>
      <c r="F62" s="120">
        <f t="shared" ref="F62:M62" ca="1" si="51">OFFSET(ref_freshman,0,1+($E63-$D63+1)-F$12,1,1)</f>
        <v>2001</v>
      </c>
      <c r="G62" s="120">
        <f t="shared" ca="1" si="51"/>
        <v>2002</v>
      </c>
      <c r="H62" s="120">
        <f t="shared" ca="1" si="51"/>
        <v>2003</v>
      </c>
      <c r="I62" s="120">
        <f t="shared" ca="1" si="51"/>
        <v>2004</v>
      </c>
      <c r="J62" s="120">
        <f t="shared" ca="1" si="51"/>
        <v>2005</v>
      </c>
      <c r="K62" s="120">
        <f t="shared" ca="1" si="51"/>
        <v>2006</v>
      </c>
      <c r="L62" s="120">
        <f t="shared" ca="1" si="51"/>
        <v>2007</v>
      </c>
      <c r="M62" s="120">
        <f t="shared" ca="1" si="51"/>
        <v>2008</v>
      </c>
    </row>
    <row r="63" spans="1:13">
      <c r="A63" s="119">
        <v>6</v>
      </c>
      <c r="B63" s="119" t="s">
        <v>193</v>
      </c>
      <c r="C63" s="120">
        <f>COUNTA('Raw Data'!C130:IQ130)</f>
        <v>8</v>
      </c>
      <c r="D63" s="120">
        <f>MIN('Raw Data'!C130:IQ130)</f>
        <v>2001</v>
      </c>
      <c r="E63" s="120">
        <f>MAX('Raw Data'!C130:IQ130)</f>
        <v>2008</v>
      </c>
      <c r="F63" s="120" t="str">
        <f t="shared" ref="F63:M63" ca="1" si="52">RIGHT(F62,2)</f>
        <v>01</v>
      </c>
      <c r="G63" s="120" t="str">
        <f t="shared" ca="1" si="52"/>
        <v>02</v>
      </c>
      <c r="H63" s="120" t="str">
        <f t="shared" ca="1" si="52"/>
        <v>03</v>
      </c>
      <c r="I63" s="120" t="str">
        <f t="shared" ca="1" si="52"/>
        <v>04</v>
      </c>
      <c r="J63" s="120" t="str">
        <f t="shared" ca="1" si="52"/>
        <v>05</v>
      </c>
      <c r="K63" s="120" t="str">
        <f t="shared" ca="1" si="52"/>
        <v>06</v>
      </c>
      <c r="L63" s="120" t="str">
        <f t="shared" ca="1" si="52"/>
        <v>07</v>
      </c>
      <c r="M63" s="120" t="str">
        <f t="shared" ca="1" si="52"/>
        <v>08</v>
      </c>
    </row>
    <row r="64" spans="1:13">
      <c r="A64" s="5" t="s">
        <v>155</v>
      </c>
      <c r="B64" s="5" t="str">
        <f>'Raw Data'!B131</f>
        <v>GPA</v>
      </c>
      <c r="F64" s="155">
        <f t="shared" ref="F64:M64" ca="1" si="53">OFFSET(ref_freshman,1,1+($E$63-$D$63+1)-F$12,1,1)</f>
        <v>3.44</v>
      </c>
      <c r="G64" s="155">
        <f t="shared" ca="1" si="53"/>
        <v>3.48</v>
      </c>
      <c r="H64" s="155">
        <f t="shared" ca="1" si="53"/>
        <v>3.49</v>
      </c>
      <c r="I64" s="155">
        <f t="shared" ca="1" si="53"/>
        <v>3.48</v>
      </c>
      <c r="J64" s="155">
        <f t="shared" ca="1" si="53"/>
        <v>3.46</v>
      </c>
      <c r="K64" s="155">
        <f t="shared" ca="1" si="53"/>
        <v>3.45</v>
      </c>
      <c r="L64" s="155">
        <f t="shared" ca="1" si="53"/>
        <v>3.3478143712574906</v>
      </c>
      <c r="M64" s="155">
        <f t="shared" ca="1" si="53"/>
        <v>3.3502622377622364</v>
      </c>
    </row>
    <row r="65" spans="1:13">
      <c r="A65" s="5" t="s">
        <v>156</v>
      </c>
      <c r="B65" s="5" t="str">
        <f>'Raw Data'!B132</f>
        <v>SAT</v>
      </c>
      <c r="F65" s="145">
        <f t="shared" ref="F65:M65" ca="1" si="54">OFFSET(ref_freshman,2,1+($E$63-$D$63+1)-F$12,1,1)</f>
        <v>1006</v>
      </c>
      <c r="G65" s="145">
        <f t="shared" ca="1" si="54"/>
        <v>1011</v>
      </c>
      <c r="H65" s="145">
        <f t="shared" ca="1" si="54"/>
        <v>1003</v>
      </c>
      <c r="I65" s="145">
        <f t="shared" ca="1" si="54"/>
        <v>1010</v>
      </c>
      <c r="J65" s="145">
        <f t="shared" ca="1" si="54"/>
        <v>1027</v>
      </c>
      <c r="K65" s="145">
        <f t="shared" ca="1" si="54"/>
        <v>1009</v>
      </c>
      <c r="L65" s="145">
        <f t="shared" ca="1" si="54"/>
        <v>976.76</v>
      </c>
      <c r="M65" s="145">
        <f t="shared" ca="1" si="54"/>
        <v>991.69172932330832</v>
      </c>
    </row>
    <row r="66" spans="1:13" ht="25.5" customHeight="1">
      <c r="A66" s="119" t="s">
        <v>121</v>
      </c>
      <c r="B66" s="119" t="s">
        <v>122</v>
      </c>
      <c r="C66" s="118" t="s">
        <v>123</v>
      </c>
      <c r="D66" s="118" t="s">
        <v>124</v>
      </c>
      <c r="E66" s="118" t="s">
        <v>125</v>
      </c>
      <c r="F66" s="120">
        <f t="shared" ref="F66:M66" ca="1" si="55">OFFSET(ref_retention,0,1+($E67-$D67+1)-F$12,1,1)</f>
        <v>2001</v>
      </c>
      <c r="G66" s="120">
        <f t="shared" ca="1" si="55"/>
        <v>2002</v>
      </c>
      <c r="H66" s="120">
        <f t="shared" ca="1" si="55"/>
        <v>2003</v>
      </c>
      <c r="I66" s="120">
        <f t="shared" ca="1" si="55"/>
        <v>2004</v>
      </c>
      <c r="J66" s="120">
        <f t="shared" ca="1" si="55"/>
        <v>2005</v>
      </c>
      <c r="K66" s="120">
        <f t="shared" ca="1" si="55"/>
        <v>2006</v>
      </c>
      <c r="L66" s="120">
        <f t="shared" ca="1" si="55"/>
        <v>2007</v>
      </c>
      <c r="M66" s="120">
        <f t="shared" ca="1" si="55"/>
        <v>2008</v>
      </c>
    </row>
    <row r="67" spans="1:13">
      <c r="A67" s="119">
        <v>7</v>
      </c>
      <c r="B67" s="119" t="s">
        <v>76</v>
      </c>
      <c r="C67" s="120">
        <f>COUNTA('Raw Data'!C141:IQ141)</f>
        <v>8</v>
      </c>
      <c r="D67" s="120">
        <f>MIN('Raw Data'!C141:IQ141)</f>
        <v>2001</v>
      </c>
      <c r="E67" s="120">
        <f>MAX('Raw Data'!C141:IQ141)</f>
        <v>2008</v>
      </c>
      <c r="F67" s="120" t="str">
        <f t="shared" ref="F67" ca="1" si="56">RIGHT(F66,2)</f>
        <v>01</v>
      </c>
      <c r="G67" s="120" t="str">
        <f t="shared" ref="G67:M67" ca="1" si="57">RIGHT(G66,2)</f>
        <v>02</v>
      </c>
      <c r="H67" s="120" t="str">
        <f t="shared" ca="1" si="57"/>
        <v>03</v>
      </c>
      <c r="I67" s="120" t="str">
        <f t="shared" ca="1" si="57"/>
        <v>04</v>
      </c>
      <c r="J67" s="120" t="str">
        <f t="shared" ca="1" si="57"/>
        <v>05</v>
      </c>
      <c r="K67" s="120" t="str">
        <f t="shared" ca="1" si="57"/>
        <v>06</v>
      </c>
      <c r="L67" s="120" t="str">
        <f t="shared" ca="1" si="57"/>
        <v>07</v>
      </c>
      <c r="M67" s="120" t="str">
        <f t="shared" ca="1" si="57"/>
        <v>08</v>
      </c>
    </row>
    <row r="68" spans="1:13">
      <c r="A68" s="5" t="s">
        <v>155</v>
      </c>
      <c r="B68" s="5" t="str">
        <f>'Raw Data'!B142</f>
        <v>MC Freshman</v>
      </c>
      <c r="F68" s="123">
        <f ca="1">OFFSET(ref_retention,1,1+($E67-$D67+1)-F$12,1,1)</f>
        <v>0.82807017543859651</v>
      </c>
      <c r="G68" s="123">
        <f t="shared" ref="G68:M68" ca="1" si="58">OFFSET(ref_retention,1,1+($E67-$D67+1)-G$12,1,1)</f>
        <v>0.84262295081967209</v>
      </c>
      <c r="H68" s="123">
        <f t="shared" ca="1" si="58"/>
        <v>0.87755102040816324</v>
      </c>
      <c r="I68" s="123">
        <f t="shared" ca="1" si="58"/>
        <v>0.87543252595155707</v>
      </c>
      <c r="J68" s="123">
        <f t="shared" ca="1" si="58"/>
        <v>0.88800000000000001</v>
      </c>
      <c r="K68" s="123">
        <f t="shared" ca="1" si="58"/>
        <v>0.80421686746987953</v>
      </c>
      <c r="L68" s="123">
        <f t="shared" ca="1" si="58"/>
        <v>0.84713375796178347</v>
      </c>
      <c r="M68" s="123">
        <f t="shared" ca="1" si="58"/>
        <v>0.78742514970059885</v>
      </c>
    </row>
    <row r="69" spans="1:13">
      <c r="A69" s="5" t="s">
        <v>156</v>
      </c>
      <c r="B69" s="5" t="str">
        <f>'Raw Data'!B143</f>
        <v>MC Transfers</v>
      </c>
      <c r="F69" s="123">
        <f t="shared" ref="F69:M69" ca="1" si="59">OFFSET(ref_retention,2,1+($E67-$D67+1)-F$12,1,1)</f>
        <v>0.73643410852713176</v>
      </c>
      <c r="G69" s="123">
        <f t="shared" ca="1" si="59"/>
        <v>0.81481481481481477</v>
      </c>
      <c r="H69" s="123">
        <f t="shared" ca="1" si="59"/>
        <v>0.75454545454545452</v>
      </c>
      <c r="I69" s="123">
        <f t="shared" ca="1" si="59"/>
        <v>0.84761904761904761</v>
      </c>
      <c r="J69" s="123">
        <f t="shared" ca="1" si="59"/>
        <v>0.8125</v>
      </c>
      <c r="K69" s="123">
        <f t="shared" ca="1" si="59"/>
        <v>0.86614173228346458</v>
      </c>
      <c r="L69" s="123">
        <f t="shared" ca="1" si="59"/>
        <v>0.76470588235294112</v>
      </c>
      <c r="M69" s="123">
        <f t="shared" ca="1" si="59"/>
        <v>0.76984126984126988</v>
      </c>
    </row>
    <row r="70" spans="1:13">
      <c r="A70" s="5" t="s">
        <v>157</v>
      </c>
      <c r="B70" s="5" t="str">
        <f>'Raw Data'!B144</f>
        <v>CAPA</v>
      </c>
      <c r="F70" s="123">
        <f t="shared" ref="F70:M70" ca="1" si="60">OFFSET(ref_retention,3,1+($E67-$D67+1)-F$12,1,1)</f>
        <v>0.74611398963730569</v>
      </c>
      <c r="G70" s="123">
        <f t="shared" ca="1" si="60"/>
        <v>0.84615384615384615</v>
      </c>
      <c r="H70" s="123">
        <f t="shared" ca="1" si="60"/>
        <v>0.71241830065359479</v>
      </c>
      <c r="I70" s="123">
        <f t="shared" ca="1" si="60"/>
        <v>0.73</v>
      </c>
      <c r="J70" s="123">
        <f t="shared" ca="1" si="60"/>
        <v>0.84745762711864403</v>
      </c>
      <c r="K70" s="123">
        <f t="shared" ca="1" si="60"/>
        <v>0.80597014925373134</v>
      </c>
      <c r="L70" s="123">
        <f t="shared" ca="1" si="60"/>
        <v>0.80392156862745101</v>
      </c>
      <c r="M70" s="123">
        <f t="shared" ca="1" si="60"/>
        <v>0.8</v>
      </c>
    </row>
    <row r="71" spans="1:13">
      <c r="A71" s="5" t="s">
        <v>158</v>
      </c>
      <c r="B71" s="5" t="str">
        <f>'Raw Data'!B145</f>
        <v>RCA</v>
      </c>
      <c r="F71" s="123">
        <f t="shared" ref="F71:M71" ca="1" si="61">OFFSET(ref_retention,4,1+($E67-$D67+1)-F$12,1,1)</f>
        <v>0.69135802469135799</v>
      </c>
      <c r="G71" s="123">
        <f t="shared" ca="1" si="61"/>
        <v>0.74850299401197606</v>
      </c>
      <c r="H71" s="123">
        <f t="shared" ca="1" si="61"/>
        <v>0.70403587443946192</v>
      </c>
      <c r="I71" s="123">
        <f t="shared" ca="1" si="61"/>
        <v>0.70036101083032487</v>
      </c>
      <c r="J71" s="123">
        <f t="shared" ca="1" si="61"/>
        <v>0.76949152542372878</v>
      </c>
      <c r="K71" s="123">
        <f t="shared" ca="1" si="61"/>
        <v>0.74675324675324672</v>
      </c>
      <c r="L71" s="123">
        <f t="shared" ca="1" si="61"/>
        <v>0.74747474747474751</v>
      </c>
      <c r="M71" s="123">
        <f t="shared" ca="1" si="61"/>
        <v>0.70992366412213737</v>
      </c>
    </row>
    <row r="72" spans="1:13">
      <c r="A72" s="119" t="s">
        <v>121</v>
      </c>
      <c r="B72" s="119" t="s">
        <v>122</v>
      </c>
      <c r="C72" s="118" t="s">
        <v>123</v>
      </c>
      <c r="D72" s="118" t="s">
        <v>124</v>
      </c>
      <c r="E72" s="118" t="s">
        <v>125</v>
      </c>
      <c r="F72" s="120">
        <f ca="1">OFFSET(ref_graduation,0,1+($E73-$D73+1)-F$12,1,1)</f>
        <v>2001</v>
      </c>
      <c r="G72" s="120">
        <f t="shared" ref="G72:M72" ca="1" si="62">OFFSET(ref_retention,0,1+($E73-$D73+1)-G$12,1,1)</f>
        <v>2002</v>
      </c>
      <c r="H72" s="120">
        <f t="shared" ca="1" si="62"/>
        <v>2003</v>
      </c>
      <c r="I72" s="120">
        <f t="shared" ca="1" si="62"/>
        <v>2004</v>
      </c>
      <c r="J72" s="120">
        <f t="shared" ca="1" si="62"/>
        <v>2005</v>
      </c>
      <c r="K72" s="120">
        <f t="shared" ca="1" si="62"/>
        <v>2006</v>
      </c>
      <c r="L72" s="120">
        <f t="shared" ca="1" si="62"/>
        <v>2007</v>
      </c>
      <c r="M72" s="120">
        <f t="shared" ca="1" si="62"/>
        <v>2008</v>
      </c>
    </row>
    <row r="73" spans="1:13">
      <c r="A73" s="119">
        <v>8</v>
      </c>
      <c r="B73" s="119" t="s">
        <v>75</v>
      </c>
      <c r="C73" s="120">
        <f>COUNTA('Raw Data'!C146:IQ146)</f>
        <v>8</v>
      </c>
      <c r="D73" s="120">
        <f>MIN('Raw Data'!C146:IQ146)</f>
        <v>2001</v>
      </c>
      <c r="E73" s="120">
        <f>MAX('Raw Data'!C146:IQ146)</f>
        <v>2008</v>
      </c>
      <c r="F73" s="120" t="str">
        <f t="shared" ref="F73:M73" ca="1" si="63">RIGHT(F72,2)</f>
        <v>01</v>
      </c>
      <c r="G73" s="120" t="str">
        <f t="shared" ca="1" si="63"/>
        <v>02</v>
      </c>
      <c r="H73" s="120" t="str">
        <f t="shared" ca="1" si="63"/>
        <v>03</v>
      </c>
      <c r="I73" s="120" t="str">
        <f t="shared" ca="1" si="63"/>
        <v>04</v>
      </c>
      <c r="J73" s="120" t="str">
        <f t="shared" ca="1" si="63"/>
        <v>05</v>
      </c>
      <c r="K73" s="120" t="str">
        <f t="shared" ca="1" si="63"/>
        <v>06</v>
      </c>
      <c r="L73" s="120" t="str">
        <f t="shared" ca="1" si="63"/>
        <v>07</v>
      </c>
      <c r="M73" s="120" t="str">
        <f t="shared" ca="1" si="63"/>
        <v>08</v>
      </c>
    </row>
    <row r="74" spans="1:13">
      <c r="A74" s="5" t="s">
        <v>155</v>
      </c>
      <c r="B74" s="5" t="str">
        <f>'Raw Data'!B147</f>
        <v>MC Freshman 4YR</v>
      </c>
      <c r="F74" s="123">
        <f t="shared" ref="F74:M74" ca="1" si="64">OFFSET(ref_graduation,1,1+($E73-$D73+1)-F$12,1,1)</f>
        <v>0.30693069306930693</v>
      </c>
      <c r="G74" s="123">
        <f t="shared" ca="1" si="64"/>
        <v>0.33021806853582553</v>
      </c>
      <c r="H74" s="123">
        <f t="shared" ca="1" si="64"/>
        <v>0.38437500000000002</v>
      </c>
      <c r="I74" s="123">
        <f t="shared" ca="1" si="64"/>
        <v>0.32631578947368423</v>
      </c>
      <c r="J74" s="123">
        <f t="shared" ca="1" si="64"/>
        <v>0.41311475409836068</v>
      </c>
      <c r="K74" s="123">
        <f t="shared" ca="1" si="64"/>
        <v>0.42176870748299322</v>
      </c>
      <c r="L74" s="123">
        <f t="shared" ca="1" si="64"/>
        <v>0.43252595155709345</v>
      </c>
      <c r="M74" s="123">
        <f t="shared" ca="1" si="64"/>
        <v>0.49066666666666664</v>
      </c>
    </row>
    <row r="75" spans="1:13">
      <c r="A75" s="5" t="s">
        <v>156</v>
      </c>
      <c r="B75" s="5" t="str">
        <f>'Raw Data'!B148</f>
        <v>MC Freshman 6YR</v>
      </c>
      <c r="F75" s="123">
        <f t="shared" ref="F75:M75" ca="1" si="65">OFFSET(ref_graduation,2,1+($E73-$D73+1)-F$12,1,1)</f>
        <v>0.46195652173913043</v>
      </c>
      <c r="G75" s="123">
        <f t="shared" ca="1" si="65"/>
        <v>0.46938775510204084</v>
      </c>
      <c r="H75" s="123">
        <f t="shared" ca="1" si="65"/>
        <v>0.50495049504950495</v>
      </c>
      <c r="I75" s="123">
        <f t="shared" ca="1" si="65"/>
        <v>0.48909657320872274</v>
      </c>
      <c r="J75" s="123">
        <f t="shared" ca="1" si="65"/>
        <v>0.52500000000000002</v>
      </c>
      <c r="K75" s="123">
        <f t="shared" ca="1" si="65"/>
        <v>0.50877192982456143</v>
      </c>
      <c r="L75" s="123">
        <f t="shared" ca="1" si="65"/>
        <v>0.58032786885245902</v>
      </c>
      <c r="M75" s="123">
        <f t="shared" ca="1" si="65"/>
        <v>0.61224489795918369</v>
      </c>
    </row>
    <row r="76" spans="1:13">
      <c r="A76" s="5" t="s">
        <v>157</v>
      </c>
      <c r="B76" s="5" t="str">
        <f>'Raw Data'!B149</f>
        <v>MC Transfer 4YR</v>
      </c>
      <c r="F76" s="123">
        <f t="shared" ref="F76:M76" ca="1" si="66">OFFSET(ref_graduation,3,1+($E73-$D73+1)-F$12,1,1)</f>
        <v>0.5</v>
      </c>
      <c r="G76" s="123">
        <f t="shared" ca="1" si="66"/>
        <v>0.5220588235294118</v>
      </c>
      <c r="H76" s="123">
        <f t="shared" ca="1" si="66"/>
        <v>0.50427350427350426</v>
      </c>
      <c r="I76" s="123">
        <f t="shared" ca="1" si="66"/>
        <v>0.51162790697674421</v>
      </c>
      <c r="J76" s="123">
        <f t="shared" ca="1" si="66"/>
        <v>0.58333333333333337</v>
      </c>
      <c r="K76" s="123">
        <f t="shared" ca="1" si="66"/>
        <v>0.53636363636363638</v>
      </c>
      <c r="L76" s="123">
        <f t="shared" ca="1" si="66"/>
        <v>0.6</v>
      </c>
      <c r="M76" s="123">
        <f t="shared" ca="1" si="66"/>
        <v>0.64375000000000004</v>
      </c>
    </row>
    <row r="77" spans="1:13">
      <c r="A77" s="5" t="s">
        <v>158</v>
      </c>
      <c r="B77" s="5" t="str">
        <f>'Raw Data'!B150</f>
        <v>MC Transfers 6YR</v>
      </c>
      <c r="F77" s="123">
        <f t="shared" ref="F77:M77" ca="1" si="67">OFFSET(ref_graduation,4,1+($E73-$D73+1)-F$12,1,1)</f>
        <v>0.49193548387096775</v>
      </c>
      <c r="G77" s="123">
        <f t="shared" ca="1" si="67"/>
        <v>0.4485294117647059</v>
      </c>
      <c r="H77" s="123">
        <f t="shared" ca="1" si="67"/>
        <v>0.55263157894736847</v>
      </c>
      <c r="I77" s="123">
        <f t="shared" ca="1" si="67"/>
        <v>0.55147058823529416</v>
      </c>
      <c r="J77" s="123">
        <f t="shared" ca="1" si="67"/>
        <v>0.5641025641025641</v>
      </c>
      <c r="K77" s="123">
        <f t="shared" ca="1" si="67"/>
        <v>0.5968992248062015</v>
      </c>
      <c r="L77" s="123">
        <f t="shared" ca="1" si="67"/>
        <v>0.62962962962962965</v>
      </c>
      <c r="M77" s="123">
        <f t="shared" ca="1" si="67"/>
        <v>0.67272727272727273</v>
      </c>
    </row>
    <row r="78" spans="1:13" ht="30.75" customHeight="1">
      <c r="A78" s="119" t="s">
        <v>121</v>
      </c>
      <c r="B78" s="119" t="s">
        <v>122</v>
      </c>
      <c r="C78" s="118" t="s">
        <v>123</v>
      </c>
      <c r="D78" s="118" t="s">
        <v>124</v>
      </c>
      <c r="E78" s="118" t="s">
        <v>125</v>
      </c>
      <c r="F78" s="120">
        <f t="shared" ref="F78:M78" ca="1" si="68">OFFSET(ref_total_gpa,0,1+($E79-$D79+1)-F$12,1,1)</f>
        <v>2001</v>
      </c>
      <c r="G78" s="120">
        <f t="shared" ca="1" si="68"/>
        <v>2002</v>
      </c>
      <c r="H78" s="120">
        <f t="shared" ca="1" si="68"/>
        <v>2003</v>
      </c>
      <c r="I78" s="120">
        <f t="shared" ca="1" si="68"/>
        <v>2004</v>
      </c>
      <c r="J78" s="120">
        <f t="shared" ca="1" si="68"/>
        <v>2005</v>
      </c>
      <c r="K78" s="120">
        <f t="shared" ca="1" si="68"/>
        <v>2006</v>
      </c>
      <c r="L78" s="120">
        <f t="shared" ca="1" si="68"/>
        <v>2007</v>
      </c>
      <c r="M78" s="120">
        <f t="shared" ca="1" si="68"/>
        <v>2008</v>
      </c>
    </row>
    <row r="79" spans="1:13">
      <c r="A79" s="119">
        <v>9</v>
      </c>
      <c r="B79" s="119" t="s">
        <v>127</v>
      </c>
      <c r="C79" s="120">
        <f>COUNTA('Raw Data'!C151:IQ151)</f>
        <v>8</v>
      </c>
      <c r="D79" s="120">
        <f>MIN('Raw Data'!C151:IQ151)</f>
        <v>2001</v>
      </c>
      <c r="E79" s="120">
        <f>MAX('Raw Data'!C151:IQ151)</f>
        <v>2008</v>
      </c>
      <c r="F79" s="120" t="str">
        <f t="shared" ref="F79:M79" ca="1" si="69">RIGHT(F78,2)</f>
        <v>01</v>
      </c>
      <c r="G79" s="120" t="str">
        <f t="shared" ca="1" si="69"/>
        <v>02</v>
      </c>
      <c r="H79" s="120" t="str">
        <f t="shared" ca="1" si="69"/>
        <v>03</v>
      </c>
      <c r="I79" s="120" t="str">
        <f t="shared" ca="1" si="69"/>
        <v>04</v>
      </c>
      <c r="J79" s="120" t="str">
        <f t="shared" ca="1" si="69"/>
        <v>05</v>
      </c>
      <c r="K79" s="120" t="str">
        <f t="shared" ca="1" si="69"/>
        <v>06</v>
      </c>
      <c r="L79" s="120" t="str">
        <f t="shared" ca="1" si="69"/>
        <v>07</v>
      </c>
      <c r="M79" s="120" t="str">
        <f t="shared" ca="1" si="69"/>
        <v>08</v>
      </c>
    </row>
    <row r="80" spans="1:13">
      <c r="A80" s="5" t="s">
        <v>155</v>
      </c>
      <c r="B80" s="5" t="str">
        <f>'Raw Data'!B152</f>
        <v>Freshman</v>
      </c>
      <c r="F80" s="154">
        <f t="shared" ref="F80:M80" ca="1" si="70">OFFSET(ref_total_gpa,1,1+($E79-$D79+1)-F$12,1,1)</f>
        <v>3.31</v>
      </c>
      <c r="G80" s="154">
        <f t="shared" ca="1" si="70"/>
        <v>3.22</v>
      </c>
      <c r="H80" s="154">
        <f t="shared" ca="1" si="70"/>
        <v>3.24</v>
      </c>
      <c r="I80" s="154">
        <f t="shared" ca="1" si="70"/>
        <v>3.29</v>
      </c>
      <c r="J80" s="154">
        <f t="shared" ca="1" si="70"/>
        <v>3.18</v>
      </c>
      <c r="K80" s="154">
        <f t="shared" ca="1" si="70"/>
        <v>3.1</v>
      </c>
      <c r="L80" s="154">
        <f t="shared" ca="1" si="70"/>
        <v>3.12</v>
      </c>
      <c r="M80" s="154">
        <f t="shared" ca="1" si="70"/>
        <v>3.19</v>
      </c>
    </row>
    <row r="81" spans="1:13">
      <c r="A81" s="5" t="s">
        <v>156</v>
      </c>
      <c r="B81" s="5" t="str">
        <f>'Raw Data'!B153</f>
        <v>Sophomore</v>
      </c>
      <c r="F81" s="154">
        <f t="shared" ref="F81:M81" ca="1" si="71">OFFSET(ref_total_gpa,2,1+($E79-$D79+1)-F$12,1,1)</f>
        <v>3.09</v>
      </c>
      <c r="G81" s="154">
        <f t="shared" ca="1" si="71"/>
        <v>3.16</v>
      </c>
      <c r="H81" s="154">
        <f t="shared" ca="1" si="71"/>
        <v>3.12</v>
      </c>
      <c r="I81" s="154">
        <f t="shared" ca="1" si="71"/>
        <v>3.08</v>
      </c>
      <c r="J81" s="154">
        <f t="shared" ca="1" si="71"/>
        <v>3.14</v>
      </c>
      <c r="K81" s="154">
        <f t="shared" ca="1" si="71"/>
        <v>3.09</v>
      </c>
      <c r="L81" s="154">
        <f t="shared" ca="1" si="71"/>
        <v>3.07</v>
      </c>
      <c r="M81" s="154">
        <f t="shared" ca="1" si="71"/>
        <v>3.04</v>
      </c>
    </row>
    <row r="82" spans="1:13">
      <c r="A82" s="5" t="s">
        <v>157</v>
      </c>
      <c r="B82" s="5" t="str">
        <f>'Raw Data'!B154</f>
        <v>Junior</v>
      </c>
      <c r="F82" s="154">
        <f t="shared" ref="F82:M82" ca="1" si="72">OFFSET(ref_total_gpa,3,1+($E79-$D79+1)-F$12,1,1)</f>
        <v>3.13</v>
      </c>
      <c r="G82" s="154">
        <f t="shared" ca="1" si="72"/>
        <v>3.11</v>
      </c>
      <c r="H82" s="154">
        <f t="shared" ca="1" si="72"/>
        <v>3.13</v>
      </c>
      <c r="I82" s="154">
        <f t="shared" ca="1" si="72"/>
        <v>3.1</v>
      </c>
      <c r="J82" s="154">
        <f t="shared" ca="1" si="72"/>
        <v>3.12</v>
      </c>
      <c r="K82" s="154">
        <f t="shared" ca="1" si="72"/>
        <v>3.12</v>
      </c>
      <c r="L82" s="154">
        <f t="shared" ca="1" si="72"/>
        <v>3.1</v>
      </c>
      <c r="M82" s="154">
        <f t="shared" ca="1" si="72"/>
        <v>3.11</v>
      </c>
    </row>
    <row r="83" spans="1:13">
      <c r="A83" s="5" t="s">
        <v>158</v>
      </c>
      <c r="B83" s="5" t="str">
        <f>'Raw Data'!B155</f>
        <v>Senior</v>
      </c>
      <c r="F83" s="154">
        <f t="shared" ref="F83:M83" ca="1" si="73">OFFSET(ref_total_gpa,4,1+($E79-$D79+1)-F$12,1,1)</f>
        <v>3.13</v>
      </c>
      <c r="G83" s="154">
        <f t="shared" ca="1" si="73"/>
        <v>3.13</v>
      </c>
      <c r="H83" s="154">
        <f t="shared" ca="1" si="73"/>
        <v>3.12</v>
      </c>
      <c r="I83" s="154">
        <f t="shared" ca="1" si="73"/>
        <v>3.15</v>
      </c>
      <c r="J83" s="154">
        <f t="shared" ca="1" si="73"/>
        <v>3.15</v>
      </c>
      <c r="K83" s="154">
        <f t="shared" ca="1" si="73"/>
        <v>3.14</v>
      </c>
      <c r="L83" s="154">
        <f t="shared" ca="1" si="73"/>
        <v>3.15</v>
      </c>
      <c r="M83" s="154">
        <f t="shared" ca="1" si="73"/>
        <v>3.12</v>
      </c>
    </row>
    <row r="84" spans="1:13" ht="30.75" customHeight="1">
      <c r="A84" s="119" t="s">
        <v>121</v>
      </c>
      <c r="B84" s="119" t="s">
        <v>122</v>
      </c>
      <c r="C84" s="118" t="s">
        <v>123</v>
      </c>
      <c r="D84" s="118" t="s">
        <v>124</v>
      </c>
      <c r="E84" s="118" t="s">
        <v>125</v>
      </c>
      <c r="F84" s="120">
        <f t="shared" ref="F84:M84" ca="1" si="74">OFFSET(ref_ethnicity_student,0,1+($E85-$D85+1)-F$12,1,1)</f>
        <v>2001</v>
      </c>
      <c r="G84" s="120">
        <f t="shared" ca="1" si="74"/>
        <v>2002</v>
      </c>
      <c r="H84" s="120">
        <f t="shared" ca="1" si="74"/>
        <v>2003</v>
      </c>
      <c r="I84" s="120">
        <f t="shared" ca="1" si="74"/>
        <v>2004</v>
      </c>
      <c r="J84" s="120">
        <f t="shared" ca="1" si="74"/>
        <v>2005</v>
      </c>
      <c r="K84" s="120">
        <f t="shared" ca="1" si="74"/>
        <v>2006</v>
      </c>
      <c r="L84" s="120">
        <f t="shared" ca="1" si="74"/>
        <v>2007</v>
      </c>
      <c r="M84" s="120">
        <f t="shared" ca="1" si="74"/>
        <v>2008</v>
      </c>
    </row>
    <row r="85" spans="1:13">
      <c r="A85" s="119">
        <v>10</v>
      </c>
      <c r="B85" s="119" t="s">
        <v>202</v>
      </c>
      <c r="C85" s="120">
        <f>COUNTA('Raw Data'!C168:IQ168)</f>
        <v>8</v>
      </c>
      <c r="D85" s="120">
        <f>MIN('Raw Data'!C168:IQ168)</f>
        <v>2001</v>
      </c>
      <c r="E85" s="120">
        <f>MAX('Raw Data'!C168:IQ168)</f>
        <v>2008</v>
      </c>
      <c r="F85" s="120" t="str">
        <f t="shared" ref="F85:M85" ca="1" si="75">RIGHT(F84,2)</f>
        <v>01</v>
      </c>
      <c r="G85" s="120" t="str">
        <f t="shared" ca="1" si="75"/>
        <v>02</v>
      </c>
      <c r="H85" s="120" t="str">
        <f t="shared" ca="1" si="75"/>
        <v>03</v>
      </c>
      <c r="I85" s="120" t="str">
        <f t="shared" ca="1" si="75"/>
        <v>04</v>
      </c>
      <c r="J85" s="120" t="str">
        <f t="shared" ca="1" si="75"/>
        <v>05</v>
      </c>
      <c r="K85" s="120" t="str">
        <f t="shared" ca="1" si="75"/>
        <v>06</v>
      </c>
      <c r="L85" s="120" t="str">
        <f t="shared" ca="1" si="75"/>
        <v>07</v>
      </c>
      <c r="M85" s="120" t="str">
        <f t="shared" ca="1" si="75"/>
        <v>08</v>
      </c>
    </row>
    <row r="86" spans="1:13">
      <c r="A86" s="5" t="s">
        <v>155</v>
      </c>
      <c r="B86" s="5" t="str">
        <f>'Raw Data'!B170</f>
        <v>Black</v>
      </c>
      <c r="F86" s="144">
        <f t="shared" ref="F86:M86" ca="1" si="76">OFFSET(ref_ethnicity_student,2,1+($E85-$D85+1)-F$12,1,1)</f>
        <v>0.10669908157752567</v>
      </c>
      <c r="G86" s="144">
        <f t="shared" ca="1" si="76"/>
        <v>0.11069051037723535</v>
      </c>
      <c r="H86" s="144">
        <f t="shared" ca="1" si="76"/>
        <v>0.10651661868620779</v>
      </c>
      <c r="I86" s="144">
        <f t="shared" ca="1" si="76"/>
        <v>0.11530485275819162</v>
      </c>
      <c r="J86" s="144">
        <f t="shared" ca="1" si="76"/>
        <v>0.10460029166114278</v>
      </c>
      <c r="K86" s="144">
        <f t="shared" ca="1" si="76"/>
        <v>0.10872759330002939</v>
      </c>
      <c r="L86" s="144">
        <f t="shared" ca="1" si="76"/>
        <v>9.9893730074388953E-2</v>
      </c>
      <c r="M86" s="144">
        <f t="shared" ca="1" si="76"/>
        <v>9.9667774086378738E-2</v>
      </c>
    </row>
    <row r="87" spans="1:13">
      <c r="A87" s="5" t="s">
        <v>156</v>
      </c>
      <c r="B87" s="5" t="str">
        <f>'Raw Data'!B171</f>
        <v>Asian</v>
      </c>
      <c r="F87" s="144">
        <f t="shared" ref="F87:M87" ca="1" si="77">OFFSET(ref_ethnicity_student,3,1+($E85-$D85+1)-F$12,1,1)</f>
        <v>5.0783360345759046E-2</v>
      </c>
      <c r="G87" s="144">
        <f t="shared" ca="1" si="77"/>
        <v>5.2343036157159642E-2</v>
      </c>
      <c r="H87" s="144">
        <f t="shared" ca="1" si="77"/>
        <v>5.2734886155456684E-2</v>
      </c>
      <c r="I87" s="144">
        <f t="shared" ca="1" si="77"/>
        <v>5.5578598092077977E-2</v>
      </c>
      <c r="J87" s="144">
        <f t="shared" ca="1" si="77"/>
        <v>5.4222457907994168E-2</v>
      </c>
      <c r="K87" s="144">
        <f t="shared" ca="1" si="77"/>
        <v>6.4061122538936227E-2</v>
      </c>
      <c r="L87" s="144">
        <f t="shared" ca="1" si="77"/>
        <v>8.4560497950508573E-2</v>
      </c>
      <c r="M87" s="144">
        <f t="shared" ca="1" si="77"/>
        <v>9.8912715191784961E-2</v>
      </c>
    </row>
    <row r="88" spans="1:13">
      <c r="A88" s="5" t="s">
        <v>157</v>
      </c>
      <c r="B88" s="5" t="str">
        <f>'Raw Data'!B172</f>
        <v>Hispanic</v>
      </c>
      <c r="F88" s="144">
        <f t="shared" ref="F88:M88" ca="1" si="78">OFFSET(ref_ethnicity_student,4,1+($E85-$D85+1)-F$12,1,1)</f>
        <v>0.23960021609940574</v>
      </c>
      <c r="G88" s="144">
        <f t="shared" ca="1" si="78"/>
        <v>0.25310011747813599</v>
      </c>
      <c r="H88" s="144">
        <f t="shared" ca="1" si="78"/>
        <v>0.26197330541742997</v>
      </c>
      <c r="I88" s="144">
        <f t="shared" ca="1" si="78"/>
        <v>0.32047559795382274</v>
      </c>
      <c r="J88" s="144">
        <f t="shared" ca="1" si="78"/>
        <v>0.31804321887843034</v>
      </c>
      <c r="K88" s="144">
        <f t="shared" ca="1" si="78"/>
        <v>0.33646782250955037</v>
      </c>
      <c r="L88" s="144">
        <f t="shared" ca="1" si="78"/>
        <v>0.35114619705480493</v>
      </c>
      <c r="M88" s="144">
        <f t="shared" ca="1" si="78"/>
        <v>0.35699184536393841</v>
      </c>
    </row>
    <row r="89" spans="1:13">
      <c r="A89" s="5" t="s">
        <v>158</v>
      </c>
      <c r="B89" s="5" t="str">
        <f>'Raw Data'!B173</f>
        <v>Caucasian</v>
      </c>
      <c r="F89" s="144">
        <f t="shared" ref="F89:M89" ca="1" si="79">OFFSET(ref_ethnicity_student,5,1+($E85-$D85+1)-F$12,1,1)</f>
        <v>0.4682603997839006</v>
      </c>
      <c r="G89" s="144">
        <f t="shared" ca="1" si="79"/>
        <v>0.43675760344602532</v>
      </c>
      <c r="H89" s="144">
        <f t="shared" ca="1" si="79"/>
        <v>0.41468202041350433</v>
      </c>
      <c r="I89" s="144">
        <f t="shared" ca="1" si="79"/>
        <v>0.43398313286326556</v>
      </c>
      <c r="J89" s="144">
        <f t="shared" ca="1" si="79"/>
        <v>0.39440540898846616</v>
      </c>
      <c r="K89" s="144">
        <f t="shared" ca="1" si="79"/>
        <v>0.39979429914781073</v>
      </c>
      <c r="L89" s="144">
        <f t="shared" ca="1" si="79"/>
        <v>0.38135721876423256</v>
      </c>
      <c r="M89" s="144">
        <f t="shared" ca="1" si="79"/>
        <v>0.36665659921473875</v>
      </c>
    </row>
    <row r="90" spans="1:13">
      <c r="A90" s="138" t="s">
        <v>159</v>
      </c>
      <c r="B90" s="5" t="str">
        <f>'Raw Data'!B178</f>
        <v>Other/Unknown</v>
      </c>
      <c r="F90" s="144">
        <f t="shared" ref="F90:M90" ca="1" si="80">OFFSET(ref_ethnicity_student,10,1+($E85-$D85+1)-F$12,1,1)</f>
        <v>0.13465694219340896</v>
      </c>
      <c r="G90" s="144">
        <f t="shared" ca="1" si="80"/>
        <v>0.14710873254144374</v>
      </c>
      <c r="H90" s="144">
        <f t="shared" ca="1" si="80"/>
        <v>0.16409316932740126</v>
      </c>
      <c r="I90" s="144">
        <f t="shared" ca="1" si="80"/>
        <v>7.4657818332642067E-2</v>
      </c>
      <c r="J90" s="144">
        <f t="shared" ca="1" si="80"/>
        <v>0.12872862256396655</v>
      </c>
      <c r="K90" s="144">
        <f t="shared" ca="1" si="80"/>
        <v>9.0949162503673353E-2</v>
      </c>
      <c r="L90" s="144">
        <f t="shared" ca="1" si="80"/>
        <v>8.3042356156065034E-2</v>
      </c>
      <c r="M90" s="144">
        <f t="shared" ca="1" si="80"/>
        <v>7.7771066143159207E-2</v>
      </c>
    </row>
    <row r="91" spans="1:13" ht="30.75" customHeight="1">
      <c r="A91" s="119" t="s">
        <v>121</v>
      </c>
      <c r="B91" s="119" t="s">
        <v>122</v>
      </c>
      <c r="C91" s="118" t="s">
        <v>123</v>
      </c>
      <c r="D91" s="118" t="s">
        <v>124</v>
      </c>
      <c r="E91" s="118" t="s">
        <v>125</v>
      </c>
      <c r="F91" s="120">
        <f t="shared" ref="F91:M91" ca="1" si="81">OFFSET(ref_ethnicity_employee,0,1+($E92-$D92+1)-F$12,1,1)</f>
        <v>2001</v>
      </c>
      <c r="G91" s="120">
        <f t="shared" ca="1" si="81"/>
        <v>2002</v>
      </c>
      <c r="H91" s="120">
        <f t="shared" ca="1" si="81"/>
        <v>2003</v>
      </c>
      <c r="I91" s="120">
        <f t="shared" ca="1" si="81"/>
        <v>2004</v>
      </c>
      <c r="J91" s="120">
        <f t="shared" ca="1" si="81"/>
        <v>2005</v>
      </c>
      <c r="K91" s="120">
        <f t="shared" ca="1" si="81"/>
        <v>2006</v>
      </c>
      <c r="L91" s="120">
        <f t="shared" ca="1" si="81"/>
        <v>2007</v>
      </c>
      <c r="M91" s="120">
        <f t="shared" ca="1" si="81"/>
        <v>2008</v>
      </c>
    </row>
    <row r="92" spans="1:13">
      <c r="A92" s="119">
        <v>11</v>
      </c>
      <c r="B92" s="119" t="s">
        <v>206</v>
      </c>
      <c r="C92" s="120">
        <f>COUNTA('Raw Data'!C198:IQ198)</f>
        <v>8</v>
      </c>
      <c r="D92" s="120">
        <f>MIN('Raw Data'!C198:IQ198)</f>
        <v>2001</v>
      </c>
      <c r="E92" s="120">
        <f>MAX('Raw Data'!C198:IQ198)</f>
        <v>2008</v>
      </c>
      <c r="F92" s="120" t="str">
        <f t="shared" ref="F92:M92" ca="1" si="82">RIGHT(F91,2)</f>
        <v>01</v>
      </c>
      <c r="G92" s="120" t="str">
        <f t="shared" ca="1" si="82"/>
        <v>02</v>
      </c>
      <c r="H92" s="120" t="str">
        <f t="shared" ca="1" si="82"/>
        <v>03</v>
      </c>
      <c r="I92" s="120" t="str">
        <f t="shared" ca="1" si="82"/>
        <v>04</v>
      </c>
      <c r="J92" s="120" t="str">
        <f t="shared" ca="1" si="82"/>
        <v>05</v>
      </c>
      <c r="K92" s="120" t="str">
        <f t="shared" ca="1" si="82"/>
        <v>06</v>
      </c>
      <c r="L92" s="120" t="str">
        <f t="shared" ca="1" si="82"/>
        <v>07</v>
      </c>
      <c r="M92" s="120" t="str">
        <f t="shared" ca="1" si="82"/>
        <v>08</v>
      </c>
    </row>
    <row r="93" spans="1:13">
      <c r="A93" s="5" t="s">
        <v>155</v>
      </c>
      <c r="B93" s="5" t="str">
        <f>'Raw Data'!B199</f>
        <v>Black-Faculty</v>
      </c>
      <c r="F93" s="144">
        <f t="shared" ref="F93:M93" ca="1" si="83">OFFSET(ref_ethnicity_employee,1,1+($E92-$D92+1)-F$12,1,1)</f>
        <v>3.7267080745341616E-2</v>
      </c>
      <c r="G93" s="144">
        <f t="shared" ca="1" si="83"/>
        <v>2.9585798816568046E-2</v>
      </c>
      <c r="H93" s="144">
        <f t="shared" ca="1" si="83"/>
        <v>3.3519553072625698E-2</v>
      </c>
      <c r="I93" s="144">
        <f t="shared" ca="1" si="83"/>
        <v>2.7624309392265192E-2</v>
      </c>
      <c r="J93" s="144">
        <f t="shared" ca="1" si="83"/>
        <v>2.1390374331550801E-2</v>
      </c>
      <c r="K93" s="144">
        <f t="shared" ca="1" si="83"/>
        <v>3.0927835051546393E-2</v>
      </c>
      <c r="L93" s="144">
        <f t="shared" ca="1" si="83"/>
        <v>3.608247422680412E-2</v>
      </c>
      <c r="M93" s="144">
        <f t="shared" ca="1" si="83"/>
        <v>3.0927835051546393E-2</v>
      </c>
    </row>
    <row r="94" spans="1:13">
      <c r="A94" s="5" t="s">
        <v>156</v>
      </c>
      <c r="B94" s="5" t="str">
        <f>'Raw Data'!B201</f>
        <v>Asian-Faculty</v>
      </c>
      <c r="F94" s="144">
        <f t="shared" ref="F94:M94" ca="1" si="84">OFFSET(ref_ethnicity_employee,3,1+($E92-$D92+1)-F$12,1,1)</f>
        <v>6.8322981366459631E-2</v>
      </c>
      <c r="G94" s="144">
        <f t="shared" ca="1" si="84"/>
        <v>4.142011834319527E-2</v>
      </c>
      <c r="H94" s="144">
        <f t="shared" ca="1" si="84"/>
        <v>6.1452513966480445E-2</v>
      </c>
      <c r="I94" s="144">
        <f t="shared" ca="1" si="84"/>
        <v>6.6298342541436461E-2</v>
      </c>
      <c r="J94" s="144">
        <f t="shared" ca="1" si="84"/>
        <v>8.0213903743315509E-2</v>
      </c>
      <c r="K94" s="144">
        <f t="shared" ca="1" si="84"/>
        <v>8.7628865979381437E-2</v>
      </c>
      <c r="L94" s="144">
        <f t="shared" ca="1" si="84"/>
        <v>7.7319587628865982E-2</v>
      </c>
      <c r="M94" s="144">
        <f t="shared" ca="1" si="84"/>
        <v>8.247422680412371E-2</v>
      </c>
    </row>
    <row r="95" spans="1:13">
      <c r="A95" s="5" t="s">
        <v>157</v>
      </c>
      <c r="B95" s="5" t="str">
        <f>'Raw Data'!B202</f>
        <v>Hispanic Faculty</v>
      </c>
      <c r="F95" s="144">
        <f t="shared" ref="F95:M95" ca="1" si="85">OFFSET(ref_ethnicity_employee,4,1+($E92-$D92+1)-F$12,1,1)</f>
        <v>4.3478260869565216E-2</v>
      </c>
      <c r="G95" s="144">
        <f t="shared" ca="1" si="85"/>
        <v>5.9171597633136092E-2</v>
      </c>
      <c r="H95" s="144">
        <f t="shared" ca="1" si="85"/>
        <v>7.2625698324022353E-2</v>
      </c>
      <c r="I95" s="144">
        <f t="shared" ca="1" si="85"/>
        <v>3.8674033149171269E-2</v>
      </c>
      <c r="J95" s="144">
        <f t="shared" ca="1" si="85"/>
        <v>3.7433155080213901E-2</v>
      </c>
      <c r="K95" s="144">
        <f t="shared" ca="1" si="85"/>
        <v>4.6391752577319589E-2</v>
      </c>
      <c r="L95" s="144">
        <f t="shared" ca="1" si="85"/>
        <v>7.2164948453608241E-2</v>
      </c>
      <c r="M95" s="144">
        <f t="shared" ca="1" si="85"/>
        <v>7.7319587628865982E-2</v>
      </c>
    </row>
    <row r="96" spans="1:13">
      <c r="A96" s="5" t="s">
        <v>158</v>
      </c>
      <c r="B96" s="5" t="str">
        <f>'Raw Data'!B203</f>
        <v>Caucasian-Faculty</v>
      </c>
      <c r="F96" s="144">
        <f t="shared" ref="F96:M96" ca="1" si="86">OFFSET(ref_ethnicity_employee,5,1+($E92-$D92+1)-F$12,1,1)</f>
        <v>0.84472049689440998</v>
      </c>
      <c r="G96" s="144">
        <f t="shared" ca="1" si="86"/>
        <v>0.78698224852071008</v>
      </c>
      <c r="H96" s="144">
        <f t="shared" ca="1" si="86"/>
        <v>0.82681564245810057</v>
      </c>
      <c r="I96" s="144">
        <f t="shared" ca="1" si="86"/>
        <v>0.86740331491712708</v>
      </c>
      <c r="J96" s="144">
        <f t="shared" ca="1" si="86"/>
        <v>0.82887700534759357</v>
      </c>
      <c r="K96" s="144">
        <f t="shared" ca="1" si="86"/>
        <v>0.77835051546391754</v>
      </c>
      <c r="L96" s="144">
        <f t="shared" ca="1" si="86"/>
        <v>0.73711340206185572</v>
      </c>
      <c r="M96" s="144">
        <f t="shared" ca="1" si="86"/>
        <v>0.71649484536082475</v>
      </c>
    </row>
    <row r="97" spans="1:13">
      <c r="A97" s="138" t="s">
        <v>159</v>
      </c>
      <c r="B97" s="5" t="str">
        <f>'Raw Data'!B207</f>
        <v>Black-Staff</v>
      </c>
      <c r="F97" s="144">
        <f t="shared" ref="F97:M97" ca="1" si="87">OFFSET(ref_ethnicity_employee,9,1+($E92-$D92+1)-F$12,1,1)</f>
        <v>8.3333333333333329E-2</v>
      </c>
      <c r="G97" s="144">
        <f t="shared" ca="1" si="87"/>
        <v>8.9514066496163683E-2</v>
      </c>
      <c r="H97" s="144">
        <f t="shared" ca="1" si="87"/>
        <v>8.4788029925187039E-2</v>
      </c>
      <c r="I97" s="144">
        <f t="shared" ca="1" si="87"/>
        <v>9.5823095823095825E-2</v>
      </c>
      <c r="J97" s="144">
        <f t="shared" ca="1" si="87"/>
        <v>8.7281795511221949E-2</v>
      </c>
      <c r="K97" s="144">
        <f t="shared" ca="1" si="87"/>
        <v>8.1218274111675121E-2</v>
      </c>
      <c r="L97" s="144">
        <f t="shared" ca="1" si="87"/>
        <v>8.2500000000000004E-2</v>
      </c>
      <c r="M97" s="144">
        <f t="shared" ca="1" si="87"/>
        <v>8.9588377723970949E-2</v>
      </c>
    </row>
    <row r="98" spans="1:13">
      <c r="A98" s="138" t="s">
        <v>160</v>
      </c>
      <c r="B98" s="5" t="str">
        <f>'Raw Data'!B209</f>
        <v>Asian-Staff</v>
      </c>
      <c r="F98" s="144">
        <f t="shared" ref="F98:M98" ca="1" si="88">OFFSET(ref_ethnicity_employee,11,1+($E92-$D92+1)-F$12,1,1)</f>
        <v>7.5268817204301078E-2</v>
      </c>
      <c r="G98" s="144">
        <f t="shared" ca="1" si="88"/>
        <v>7.1611253196930943E-2</v>
      </c>
      <c r="H98" s="144">
        <f t="shared" ca="1" si="88"/>
        <v>7.4812967581047385E-2</v>
      </c>
      <c r="I98" s="144">
        <f t="shared" ca="1" si="88"/>
        <v>8.1081081081081086E-2</v>
      </c>
      <c r="J98" s="144">
        <f t="shared" ca="1" si="88"/>
        <v>8.2294264339152115E-2</v>
      </c>
      <c r="K98" s="144">
        <f t="shared" ca="1" si="88"/>
        <v>8.8832487309644673E-2</v>
      </c>
      <c r="L98" s="144">
        <f t="shared" ca="1" si="88"/>
        <v>0.09</v>
      </c>
      <c r="M98" s="144">
        <f t="shared" ca="1" si="88"/>
        <v>8.4745762711864403E-2</v>
      </c>
    </row>
    <row r="99" spans="1:13">
      <c r="A99" s="138" t="s">
        <v>161</v>
      </c>
      <c r="B99" s="5" t="str">
        <f>'Raw Data'!B210</f>
        <v>Hispanic-Staff</v>
      </c>
      <c r="F99" s="144">
        <f t="shared" ref="F99:M99" ca="1" si="89">OFFSET(ref_ethnicity_employee,12,1+($E92-$D92+1)-F$12,1,1)</f>
        <v>0.20430107526881722</v>
      </c>
      <c r="G99" s="144">
        <f t="shared" ca="1" si="89"/>
        <v>0.20460358056265984</v>
      </c>
      <c r="H99" s="144">
        <f t="shared" ca="1" si="89"/>
        <v>0.21197007481296759</v>
      </c>
      <c r="I99" s="144">
        <f t="shared" ca="1" si="89"/>
        <v>0.20393120393120392</v>
      </c>
      <c r="J99" s="144">
        <f t="shared" ca="1" si="89"/>
        <v>0.21446384039900249</v>
      </c>
      <c r="K99" s="144">
        <f t="shared" ca="1" si="89"/>
        <v>0.21065989847715735</v>
      </c>
      <c r="L99" s="144">
        <f t="shared" ca="1" si="89"/>
        <v>0.21249999999999999</v>
      </c>
      <c r="M99" s="144">
        <f t="shared" ca="1" si="89"/>
        <v>0.21791767554479419</v>
      </c>
    </row>
    <row r="100" spans="1:13">
      <c r="A100" s="138" t="s">
        <v>188</v>
      </c>
      <c r="B100" s="5" t="str">
        <f>'Raw Data'!B211</f>
        <v>Caucasian-Staff</v>
      </c>
      <c r="F100" s="144">
        <f t="shared" ref="F100:M100" ca="1" si="90">OFFSET(ref_ethnicity_employee,13,1+($E92-$D92+1)-F$12,1,1)</f>
        <v>0.63172043010752688</v>
      </c>
      <c r="G100" s="144">
        <f t="shared" ca="1" si="90"/>
        <v>0.61125319693094626</v>
      </c>
      <c r="H100" s="144">
        <f t="shared" ca="1" si="90"/>
        <v>0.61097256857855364</v>
      </c>
      <c r="I100" s="144">
        <f t="shared" ca="1" si="90"/>
        <v>0.60442260442260443</v>
      </c>
      <c r="J100" s="144">
        <f t="shared" ca="1" si="90"/>
        <v>0.58104738154613467</v>
      </c>
      <c r="K100" s="144">
        <f t="shared" ca="1" si="90"/>
        <v>0.58375634517766495</v>
      </c>
      <c r="L100" s="144">
        <f t="shared" ca="1" si="90"/>
        <v>0.56499999999999995</v>
      </c>
      <c r="M100" s="144">
        <f t="shared" ca="1" si="90"/>
        <v>0.55447941888619856</v>
      </c>
    </row>
    <row r="101" spans="1:13" ht="30.75" customHeight="1">
      <c r="A101" s="119" t="s">
        <v>121</v>
      </c>
      <c r="B101" s="119" t="s">
        <v>122</v>
      </c>
      <c r="C101" s="118" t="s">
        <v>123</v>
      </c>
      <c r="D101" s="118" t="s">
        <v>124</v>
      </c>
      <c r="E101" s="118" t="s">
        <v>125</v>
      </c>
      <c r="F101" s="120">
        <f t="shared" ref="F101:M101" ca="1" si="91">OFFSET(ref_gender,0,1+($E102-$D102+1)-F$12,1,1)</f>
        <v>2001</v>
      </c>
      <c r="G101" s="120">
        <f t="shared" ca="1" si="91"/>
        <v>2002</v>
      </c>
      <c r="H101" s="120">
        <f t="shared" ca="1" si="91"/>
        <v>2003</v>
      </c>
      <c r="I101" s="120">
        <f t="shared" ca="1" si="91"/>
        <v>2004</v>
      </c>
      <c r="J101" s="120">
        <f t="shared" ca="1" si="91"/>
        <v>2005</v>
      </c>
      <c r="K101" s="120">
        <f t="shared" ca="1" si="91"/>
        <v>2006</v>
      </c>
      <c r="L101" s="120">
        <f t="shared" ca="1" si="91"/>
        <v>2007</v>
      </c>
      <c r="M101" s="120">
        <f t="shared" ca="1" si="91"/>
        <v>2008</v>
      </c>
    </row>
    <row r="102" spans="1:13">
      <c r="A102" s="119">
        <v>12</v>
      </c>
      <c r="B102" s="119" t="s">
        <v>220</v>
      </c>
      <c r="C102" s="120">
        <f>COUNTA('Raw Data'!C215:IQ215)</f>
        <v>8</v>
      </c>
      <c r="D102" s="120">
        <f>MIN('Raw Data'!C215:IQ215)</f>
        <v>2001</v>
      </c>
      <c r="E102" s="120">
        <f>MAX('Raw Data'!C215:IQ215)</f>
        <v>2008</v>
      </c>
      <c r="F102" s="120" t="str">
        <f t="shared" ref="F102:M102" ca="1" si="92">RIGHT(F101,2)</f>
        <v>01</v>
      </c>
      <c r="G102" s="120" t="str">
        <f t="shared" ca="1" si="92"/>
        <v>02</v>
      </c>
      <c r="H102" s="120" t="str">
        <f t="shared" ca="1" si="92"/>
        <v>03</v>
      </c>
      <c r="I102" s="120" t="str">
        <f t="shared" ca="1" si="92"/>
        <v>04</v>
      </c>
      <c r="J102" s="120" t="str">
        <f t="shared" ca="1" si="92"/>
        <v>05</v>
      </c>
      <c r="K102" s="120" t="str">
        <f t="shared" ca="1" si="92"/>
        <v>06</v>
      </c>
      <c r="L102" s="120" t="str">
        <f t="shared" ca="1" si="92"/>
        <v>07</v>
      </c>
      <c r="M102" s="120" t="str">
        <f t="shared" ca="1" si="92"/>
        <v>08</v>
      </c>
    </row>
    <row r="103" spans="1:13">
      <c r="A103" s="5" t="s">
        <v>155</v>
      </c>
      <c r="B103" s="5" t="s">
        <v>217</v>
      </c>
      <c r="F103" s="144">
        <f t="shared" ref="F103:M103" ca="1" si="93">OFFSET(ref_gender,2,1+($E102-$D102+1)-F$12,1,1)</f>
        <v>0.61196054254007404</v>
      </c>
      <c r="G103" s="144">
        <f t="shared" ca="1" si="93"/>
        <v>0.50189270330244096</v>
      </c>
      <c r="H103" s="144">
        <f t="shared" ca="1" si="93"/>
        <v>0.63523410933821611</v>
      </c>
      <c r="I103" s="144">
        <f t="shared" ca="1" si="93"/>
        <v>0.65117117117117118</v>
      </c>
      <c r="J103" s="144">
        <f t="shared" ca="1" si="93"/>
        <v>0.65917827967323406</v>
      </c>
      <c r="K103" s="144">
        <f t="shared" ca="1" si="93"/>
        <v>0.65917827967323406</v>
      </c>
      <c r="L103" s="144">
        <f t="shared" ca="1" si="93"/>
        <v>0.66498559077809793</v>
      </c>
      <c r="M103" s="144">
        <f t="shared" ca="1" si="93"/>
        <v>0.64077025232403717</v>
      </c>
    </row>
    <row r="104" spans="1:13">
      <c r="A104" s="5" t="s">
        <v>156</v>
      </c>
      <c r="B104" s="5" t="s">
        <v>218</v>
      </c>
      <c r="F104" s="144">
        <f t="shared" ref="F104:M104" ca="1" si="94">OFFSET(ref_gender,8,1+($E102-$D102+1)-F$12,1,1)</f>
        <v>0.42</v>
      </c>
      <c r="G104" s="144">
        <f t="shared" ca="1" si="94"/>
        <v>0.44</v>
      </c>
      <c r="H104" s="144">
        <f t="shared" ca="1" si="94"/>
        <v>0.44</v>
      </c>
      <c r="I104" s="144">
        <f t="shared" ca="1" si="94"/>
        <v>0.43</v>
      </c>
      <c r="J104" s="144">
        <f t="shared" ca="1" si="94"/>
        <v>0.48</v>
      </c>
      <c r="K104" s="144">
        <f t="shared" ca="1" si="94"/>
        <v>0.47</v>
      </c>
      <c r="L104" s="144">
        <f t="shared" ca="1" si="94"/>
        <v>0.47399999999999998</v>
      </c>
      <c r="M104" s="144">
        <f t="shared" ca="1" si="94"/>
        <v>0.48499999999999999</v>
      </c>
    </row>
    <row r="105" spans="1:13">
      <c r="A105" s="5" t="s">
        <v>157</v>
      </c>
      <c r="B105" s="5" t="s">
        <v>219</v>
      </c>
      <c r="F105" s="144">
        <f t="shared" ref="F105:M105" ca="1" si="95">OFFSET(ref_gender,12,1+($E102-$D102+1)-F$12,1,1)</f>
        <v>0.67741935483870963</v>
      </c>
      <c r="G105" s="144">
        <f t="shared" ca="1" si="95"/>
        <v>0.6675191815856778</v>
      </c>
      <c r="H105" s="144">
        <f t="shared" ca="1" si="95"/>
        <v>0.67331670822942646</v>
      </c>
      <c r="I105" s="144">
        <f t="shared" ca="1" si="95"/>
        <v>0.66584766584766586</v>
      </c>
      <c r="J105" s="144">
        <f t="shared" ca="1" si="95"/>
        <v>0.64837905236907734</v>
      </c>
      <c r="K105" s="144">
        <f t="shared" ca="1" si="95"/>
        <v>0.63197969543147203</v>
      </c>
      <c r="L105" s="144">
        <f t="shared" ca="1" si="95"/>
        <v>0.64</v>
      </c>
      <c r="M105" s="144">
        <f t="shared" ca="1" si="95"/>
        <v>0.64400000000000002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K228"/>
  <sheetViews>
    <sheetView zoomScale="93" zoomScaleNormal="93" workbookViewId="0">
      <selection activeCell="P33" sqref="P33"/>
    </sheetView>
  </sheetViews>
  <sheetFormatPr defaultRowHeight="12.75"/>
  <cols>
    <col min="1" max="1" width="4.85546875" style="13" customWidth="1"/>
    <col min="2" max="2" width="36.7109375" style="13" bestFit="1" customWidth="1"/>
    <col min="3" max="3" width="10" style="26" customWidth="1"/>
    <col min="4" max="4" width="13.28515625" style="26" customWidth="1"/>
    <col min="5" max="10" width="10" style="26" customWidth="1"/>
    <col min="11" max="11" width="10" style="13" customWidth="1"/>
    <col min="12" max="12" width="9.140625" style="13"/>
    <col min="13" max="13" width="10" style="13" bestFit="1" customWidth="1"/>
    <col min="14" max="16384" width="9.140625" style="13"/>
  </cols>
  <sheetData>
    <row r="2" spans="1:11" ht="21.75" customHeight="1">
      <c r="A2" s="10"/>
      <c r="B2" s="10"/>
      <c r="C2" s="11" t="s">
        <v>78</v>
      </c>
      <c r="D2" s="11" t="s">
        <v>79</v>
      </c>
      <c r="E2" s="11" t="s">
        <v>80</v>
      </c>
      <c r="F2" s="12" t="s">
        <v>81</v>
      </c>
      <c r="G2" s="12" t="s">
        <v>96</v>
      </c>
      <c r="H2" s="12" t="s">
        <v>97</v>
      </c>
      <c r="I2" s="12" t="s">
        <v>98</v>
      </c>
      <c r="J2" s="12" t="s">
        <v>99</v>
      </c>
    </row>
    <row r="3" spans="1:11" ht="21.75" customHeight="1">
      <c r="A3" s="14" t="s">
        <v>106</v>
      </c>
      <c r="B3" s="14"/>
      <c r="C3" s="15"/>
      <c r="D3" s="15"/>
      <c r="E3" s="15"/>
      <c r="F3" s="16"/>
      <c r="G3" s="16"/>
      <c r="H3" s="16"/>
      <c r="I3" s="16"/>
      <c r="J3" s="16"/>
    </row>
    <row r="4" spans="1:11" ht="21.75" customHeight="1">
      <c r="A4" s="10" t="s">
        <v>95</v>
      </c>
      <c r="B4" s="23"/>
      <c r="C4" s="17">
        <v>2001</v>
      </c>
      <c r="D4" s="17">
        <v>2002</v>
      </c>
      <c r="E4" s="17">
        <v>2003</v>
      </c>
      <c r="F4" s="18">
        <v>2004</v>
      </c>
      <c r="G4" s="18">
        <f>F4+1</f>
        <v>2005</v>
      </c>
      <c r="H4" s="18">
        <f t="shared" ref="H4" si="0">G4+1</f>
        <v>2006</v>
      </c>
      <c r="I4" s="18">
        <f t="shared" ref="I4" si="1">H4+1</f>
        <v>2007</v>
      </c>
      <c r="J4" s="18">
        <f t="shared" ref="J4" si="2">I4+1</f>
        <v>2008</v>
      </c>
    </row>
    <row r="5" spans="1:11" ht="16.5" customHeight="1">
      <c r="B5" s="29" t="s">
        <v>83</v>
      </c>
      <c r="C5" s="24">
        <v>1424</v>
      </c>
      <c r="D5" s="24">
        <v>1439</v>
      </c>
      <c r="E5" s="24">
        <v>1396</v>
      </c>
      <c r="F5" s="29">
        <v>1655</v>
      </c>
      <c r="G5" s="29">
        <v>1721</v>
      </c>
      <c r="H5" s="29">
        <v>1685</v>
      </c>
      <c r="I5" s="29">
        <v>1683</v>
      </c>
      <c r="J5" s="29">
        <v>1548</v>
      </c>
    </row>
    <row r="6" spans="1:11">
      <c r="B6" s="28" t="s">
        <v>84</v>
      </c>
      <c r="C6" s="26">
        <v>1154</v>
      </c>
      <c r="D6" s="26">
        <v>1308</v>
      </c>
      <c r="E6" s="26">
        <v>1327</v>
      </c>
      <c r="F6" s="28">
        <v>1500</v>
      </c>
      <c r="G6" s="28">
        <v>1438</v>
      </c>
      <c r="H6" s="28">
        <v>1419</v>
      </c>
      <c r="I6" s="28">
        <v>1464</v>
      </c>
      <c r="J6" s="28">
        <v>1566</v>
      </c>
    </row>
    <row r="7" spans="1:11">
      <c r="B7" s="29" t="s">
        <v>2</v>
      </c>
      <c r="C7" s="24">
        <v>804</v>
      </c>
      <c r="D7" s="24">
        <v>785</v>
      </c>
      <c r="E7" s="24">
        <v>787</v>
      </c>
      <c r="F7" s="29">
        <v>839</v>
      </c>
      <c r="G7" s="29">
        <v>817</v>
      </c>
      <c r="H7" s="29">
        <v>756</v>
      </c>
      <c r="I7" s="29">
        <v>695</v>
      </c>
      <c r="J7" s="29">
        <v>673</v>
      </c>
    </row>
    <row r="8" spans="1:11">
      <c r="B8" s="28" t="s">
        <v>0</v>
      </c>
      <c r="C8" s="26">
        <v>516</v>
      </c>
      <c r="D8" s="26">
        <v>555</v>
      </c>
      <c r="E8" s="26">
        <v>547</v>
      </c>
      <c r="F8" s="28">
        <v>577</v>
      </c>
      <c r="G8" s="28">
        <v>518</v>
      </c>
      <c r="H8" s="28">
        <v>511</v>
      </c>
      <c r="I8" s="28">
        <v>457</v>
      </c>
      <c r="J8" s="28">
        <v>470</v>
      </c>
    </row>
    <row r="9" spans="1:11">
      <c r="B9" s="29" t="s">
        <v>1</v>
      </c>
      <c r="C9" s="24">
        <v>132</v>
      </c>
      <c r="D9" s="24">
        <v>127</v>
      </c>
      <c r="E9" s="24">
        <v>195</v>
      </c>
      <c r="F9" s="29">
        <v>221</v>
      </c>
      <c r="G9" s="29">
        <v>255</v>
      </c>
      <c r="H9" s="29">
        <v>263</v>
      </c>
      <c r="I9" s="29">
        <v>306</v>
      </c>
      <c r="J9" s="29">
        <v>349</v>
      </c>
    </row>
    <row r="10" spans="1:11" ht="13.5" thickBot="1">
      <c r="B10" s="22" t="s">
        <v>225</v>
      </c>
      <c r="C10" s="37">
        <f>C11/C12</f>
        <v>0.50308261405672006</v>
      </c>
      <c r="D10" s="37">
        <f t="shared" ref="D10:J10" si="3">D11/D12</f>
        <v>0.44994126093199321</v>
      </c>
      <c r="E10" s="37">
        <f t="shared" si="3"/>
        <v>0.46790138906269552</v>
      </c>
      <c r="F10" s="37">
        <f t="shared" si="3"/>
        <v>0.39866984565190111</v>
      </c>
      <c r="G10" s="37">
        <f t="shared" si="3"/>
        <v>0.40256636054849665</v>
      </c>
      <c r="H10" s="37">
        <f t="shared" si="3"/>
        <v>0.38106050487511689</v>
      </c>
      <c r="I10" s="37">
        <f t="shared" si="3"/>
        <v>0.37533912099837224</v>
      </c>
      <c r="J10" s="37">
        <f t="shared" si="3"/>
        <v>0.38831341301460826</v>
      </c>
      <c r="K10" s="140"/>
    </row>
    <row r="11" spans="1:11" ht="14.25" thickTop="1" thickBot="1">
      <c r="B11" s="22" t="s">
        <v>225</v>
      </c>
      <c r="C11" s="22">
        <v>4080</v>
      </c>
      <c r="D11" s="22">
        <v>3447</v>
      </c>
      <c r="E11" s="22">
        <v>3739</v>
      </c>
      <c r="F11" s="22">
        <v>3177</v>
      </c>
      <c r="G11" s="22">
        <v>3200</v>
      </c>
      <c r="H11" s="22">
        <v>2853</v>
      </c>
      <c r="I11" s="22">
        <v>2767</v>
      </c>
      <c r="J11" s="22">
        <v>2924</v>
      </c>
    </row>
    <row r="12" spans="1:11" ht="13.5" thickTop="1">
      <c r="B12" s="6" t="s">
        <v>8</v>
      </c>
      <c r="C12" s="26">
        <f>SUM(C5:C9)+C11</f>
        <v>8110</v>
      </c>
      <c r="D12" s="26">
        <f t="shared" ref="D12:J12" si="4">SUM(D5:D9)+D11</f>
        <v>7661</v>
      </c>
      <c r="E12" s="26">
        <f t="shared" si="4"/>
        <v>7991</v>
      </c>
      <c r="F12" s="26">
        <f t="shared" si="4"/>
        <v>7969</v>
      </c>
      <c r="G12" s="26">
        <f t="shared" si="4"/>
        <v>7949</v>
      </c>
      <c r="H12" s="26">
        <f t="shared" si="4"/>
        <v>7487</v>
      </c>
      <c r="I12" s="26">
        <f t="shared" si="4"/>
        <v>7372</v>
      </c>
      <c r="J12" s="26">
        <f t="shared" si="4"/>
        <v>7530</v>
      </c>
      <c r="K12" s="13" t="s">
        <v>154</v>
      </c>
    </row>
    <row r="13" spans="1:11" ht="21.75" customHeight="1">
      <c r="A13" s="10" t="s">
        <v>100</v>
      </c>
      <c r="B13" s="23"/>
      <c r="C13" s="18"/>
      <c r="D13" s="18"/>
      <c r="E13" s="18"/>
      <c r="F13" s="18"/>
      <c r="G13" s="18"/>
      <c r="H13" s="18"/>
      <c r="I13" s="18"/>
      <c r="J13" s="18"/>
    </row>
    <row r="14" spans="1:11">
      <c r="C14" s="31">
        <v>190</v>
      </c>
      <c r="D14" s="31">
        <v>193</v>
      </c>
      <c r="E14" s="31">
        <v>173</v>
      </c>
      <c r="F14" s="31">
        <v>171</v>
      </c>
      <c r="G14" s="31">
        <v>214</v>
      </c>
      <c r="H14" s="31">
        <v>258</v>
      </c>
      <c r="I14" s="31">
        <v>298</v>
      </c>
      <c r="J14" s="31">
        <v>364</v>
      </c>
    </row>
    <row r="15" spans="1:11" ht="21.75" customHeight="1">
      <c r="A15" s="14" t="s">
        <v>104</v>
      </c>
      <c r="B15" s="14"/>
      <c r="C15" s="15"/>
      <c r="D15" s="15"/>
      <c r="E15" s="15"/>
      <c r="F15" s="16"/>
      <c r="G15" s="16"/>
      <c r="H15" s="16"/>
      <c r="I15" s="16"/>
      <c r="J15" s="16"/>
    </row>
    <row r="16" spans="1:11" ht="21.75" customHeight="1">
      <c r="A16" s="10" t="s">
        <v>103</v>
      </c>
      <c r="B16" s="23"/>
      <c r="C16" s="18"/>
      <c r="D16" s="18"/>
      <c r="E16" s="18"/>
      <c r="F16" s="18"/>
      <c r="G16" s="18"/>
      <c r="H16" s="18"/>
      <c r="I16" s="18"/>
      <c r="J16" s="18"/>
    </row>
    <row r="17" spans="2:9">
      <c r="B17" s="2" t="s">
        <v>17</v>
      </c>
      <c r="C17" s="121">
        <v>2002</v>
      </c>
      <c r="D17" s="151">
        <v>2003</v>
      </c>
      <c r="E17" s="150">
        <v>2004</v>
      </c>
      <c r="F17" s="150">
        <v>2005</v>
      </c>
      <c r="G17" s="151">
        <v>2006</v>
      </c>
      <c r="H17" s="151">
        <v>2007</v>
      </c>
      <c r="I17" s="150">
        <v>2008</v>
      </c>
    </row>
    <row r="18" spans="2:9">
      <c r="B18" s="3" t="s">
        <v>23</v>
      </c>
      <c r="C18" s="54">
        <v>55461499</v>
      </c>
      <c r="D18" s="55">
        <v>55340261</v>
      </c>
      <c r="E18" s="54">
        <v>60320398</v>
      </c>
      <c r="F18" s="54">
        <v>64818655</v>
      </c>
      <c r="G18" s="55">
        <f>127421051-49331705</f>
        <v>78089346</v>
      </c>
      <c r="H18" s="55">
        <f>144943572-H30</f>
        <v>92466119</v>
      </c>
      <c r="I18" s="56">
        <v>114097417</v>
      </c>
    </row>
    <row r="19" spans="2:9">
      <c r="B19" s="3"/>
      <c r="C19" s="20"/>
      <c r="D19" s="20"/>
      <c r="E19" s="20"/>
      <c r="F19" s="54"/>
      <c r="G19" s="20"/>
      <c r="H19" s="20"/>
      <c r="I19" s="28"/>
    </row>
    <row r="20" spans="2:9">
      <c r="B20" s="3" t="s">
        <v>24</v>
      </c>
      <c r="C20" s="20"/>
      <c r="D20" s="20"/>
      <c r="E20" s="20"/>
      <c r="F20" s="54"/>
      <c r="G20" s="20"/>
      <c r="H20" s="20"/>
      <c r="I20" s="28"/>
    </row>
    <row r="21" spans="2:9">
      <c r="B21" s="3" t="s">
        <v>25</v>
      </c>
      <c r="C21" s="55">
        <v>6690093</v>
      </c>
      <c r="D21" s="55">
        <v>6690094</v>
      </c>
      <c r="E21" s="55">
        <v>6894401</v>
      </c>
      <c r="F21" s="54">
        <v>8595901</v>
      </c>
      <c r="G21" s="55">
        <v>8595901</v>
      </c>
      <c r="H21" s="55">
        <v>8595901</v>
      </c>
      <c r="I21" s="56">
        <v>8595901</v>
      </c>
    </row>
    <row r="22" spans="2:9">
      <c r="B22" s="3" t="s">
        <v>26</v>
      </c>
      <c r="C22" s="55">
        <v>46824048</v>
      </c>
      <c r="D22" s="55">
        <v>47044205</v>
      </c>
      <c r="E22" s="55">
        <v>47884017</v>
      </c>
      <c r="F22" s="54">
        <v>49520017</v>
      </c>
      <c r="G22" s="55">
        <v>54232327</v>
      </c>
      <c r="H22" s="55">
        <v>61154112</v>
      </c>
      <c r="I22" s="56">
        <v>61690726</v>
      </c>
    </row>
    <row r="23" spans="2:9">
      <c r="B23" s="3" t="s">
        <v>27</v>
      </c>
      <c r="C23" s="55">
        <v>14184442</v>
      </c>
      <c r="D23" s="55">
        <v>15909389</v>
      </c>
      <c r="E23" s="55">
        <v>17433187</v>
      </c>
      <c r="F23" s="54">
        <v>19012448</v>
      </c>
      <c r="G23" s="55">
        <v>25081342</v>
      </c>
      <c r="H23" s="55">
        <v>28246055</v>
      </c>
      <c r="I23" s="56">
        <v>29759977</v>
      </c>
    </row>
    <row r="24" spans="2:9">
      <c r="B24" s="3" t="s">
        <v>28</v>
      </c>
      <c r="C24" s="28"/>
      <c r="D24" s="55"/>
      <c r="E24" s="28"/>
      <c r="F24" s="54"/>
      <c r="G24" s="55">
        <v>125727</v>
      </c>
      <c r="H24" s="55">
        <v>119263</v>
      </c>
      <c r="I24" s="56">
        <v>113103</v>
      </c>
    </row>
    <row r="25" spans="2:9">
      <c r="B25" s="3" t="s">
        <v>29</v>
      </c>
      <c r="C25" s="57">
        <v>971058</v>
      </c>
      <c r="D25" s="57">
        <v>980374</v>
      </c>
      <c r="E25" s="57">
        <v>1026038</v>
      </c>
      <c r="F25" s="58">
        <v>1813678</v>
      </c>
      <c r="G25" s="57">
        <v>4211422</v>
      </c>
      <c r="H25" s="57">
        <v>2323249</v>
      </c>
      <c r="I25" s="59">
        <v>8927229</v>
      </c>
    </row>
    <row r="26" spans="2:9">
      <c r="B26" s="3"/>
      <c r="C26" s="60">
        <f>SUM(C21:C25)</f>
        <v>68669641</v>
      </c>
      <c r="D26" s="60">
        <f t="shared" ref="D26:I26" si="5">SUM(D21:D25)</f>
        <v>70624062</v>
      </c>
      <c r="E26" s="60">
        <f t="shared" si="5"/>
        <v>73237643</v>
      </c>
      <c r="F26" s="54">
        <f t="shared" si="5"/>
        <v>78942044</v>
      </c>
      <c r="G26" s="60">
        <f t="shared" si="5"/>
        <v>92246719</v>
      </c>
      <c r="H26" s="60">
        <f t="shared" si="5"/>
        <v>100438580</v>
      </c>
      <c r="I26" s="56">
        <f t="shared" si="5"/>
        <v>109086936</v>
      </c>
    </row>
    <row r="27" spans="2:9">
      <c r="B27" s="3"/>
      <c r="C27" s="60"/>
      <c r="D27" s="60"/>
      <c r="E27" s="60"/>
      <c r="F27" s="54"/>
      <c r="G27" s="60"/>
      <c r="H27" s="60"/>
      <c r="I27" s="28"/>
    </row>
    <row r="28" spans="2:9">
      <c r="B28" s="3" t="s">
        <v>30</v>
      </c>
      <c r="C28" s="61">
        <v>-26104900</v>
      </c>
      <c r="D28" s="61">
        <v>-30187517</v>
      </c>
      <c r="E28" s="61">
        <v>-34199909</v>
      </c>
      <c r="F28" s="54">
        <v>-38289986</v>
      </c>
      <c r="G28" s="61">
        <v>-42915014</v>
      </c>
      <c r="H28" s="61">
        <v>-47961127</v>
      </c>
      <c r="I28" s="56">
        <v>-53123525</v>
      </c>
    </row>
    <row r="29" spans="2:9">
      <c r="B29" s="3"/>
      <c r="C29" s="20"/>
      <c r="D29" s="20"/>
      <c r="E29" s="20"/>
      <c r="F29" s="54"/>
      <c r="G29" s="20"/>
      <c r="H29" s="20"/>
      <c r="I29" s="28"/>
    </row>
    <row r="30" spans="2:9" ht="15">
      <c r="B30" s="3" t="s">
        <v>31</v>
      </c>
      <c r="C30" s="62">
        <f>C26+C28</f>
        <v>42564741</v>
      </c>
      <c r="D30" s="62">
        <f>D26+D28</f>
        <v>40436545</v>
      </c>
      <c r="E30" s="62">
        <v>39037734</v>
      </c>
      <c r="F30" s="63">
        <v>40652058</v>
      </c>
      <c r="G30" s="62">
        <f>SUM(G21:G25)+G28</f>
        <v>49331705</v>
      </c>
      <c r="H30" s="62">
        <f>SUM(H21:H25)+H28</f>
        <v>52477453</v>
      </c>
      <c r="I30" s="64">
        <f>I26+I28</f>
        <v>55963411</v>
      </c>
    </row>
    <row r="31" spans="2:9">
      <c r="B31" s="3"/>
      <c r="C31" s="20"/>
      <c r="D31" s="20"/>
      <c r="E31" s="20"/>
      <c r="F31" s="54"/>
      <c r="G31" s="20"/>
      <c r="H31" s="20"/>
      <c r="I31" s="28"/>
    </row>
    <row r="32" spans="2:9">
      <c r="B32" s="3" t="s">
        <v>32</v>
      </c>
      <c r="C32" s="65">
        <f>C18+C30</f>
        <v>98026240</v>
      </c>
      <c r="D32" s="65">
        <f>D18+D30</f>
        <v>95776806</v>
      </c>
      <c r="E32" s="65">
        <v>99358132</v>
      </c>
      <c r="F32" s="66">
        <v>105470713</v>
      </c>
      <c r="G32" s="65">
        <f>G18+G30</f>
        <v>127421051</v>
      </c>
      <c r="H32" s="65">
        <f>H18+H30</f>
        <v>144943572</v>
      </c>
      <c r="I32" s="67">
        <f>I18+I30</f>
        <v>170060828</v>
      </c>
    </row>
    <row r="33" spans="2:9">
      <c r="B33" s="3"/>
      <c r="C33" s="20"/>
      <c r="D33" s="20"/>
      <c r="E33" s="20"/>
      <c r="F33" s="54"/>
      <c r="G33" s="20"/>
      <c r="H33" s="20"/>
      <c r="I33" s="28"/>
    </row>
    <row r="34" spans="2:9">
      <c r="B34" s="3"/>
      <c r="C34" s="20"/>
      <c r="D34" s="20"/>
      <c r="E34" s="20"/>
      <c r="F34" s="54"/>
      <c r="G34" s="20"/>
      <c r="H34" s="20"/>
      <c r="I34" s="28"/>
    </row>
    <row r="35" spans="2:9">
      <c r="B35" s="2" t="s">
        <v>33</v>
      </c>
      <c r="C35" s="52"/>
      <c r="D35" s="52"/>
      <c r="E35" s="52"/>
      <c r="F35" s="68"/>
      <c r="G35" s="52"/>
      <c r="H35" s="52"/>
      <c r="I35" s="52"/>
    </row>
    <row r="36" spans="2:9">
      <c r="B36" s="3" t="s">
        <v>34</v>
      </c>
      <c r="C36" s="55">
        <v>41618446</v>
      </c>
      <c r="D36" s="55">
        <v>41201795</v>
      </c>
      <c r="E36" s="55">
        <v>41019832</v>
      </c>
      <c r="F36" s="54">
        <v>43487181</v>
      </c>
      <c r="G36" s="55">
        <v>53273155</v>
      </c>
      <c r="H36" s="55">
        <v>54887124</v>
      </c>
      <c r="I36" s="56">
        <v>77735794</v>
      </c>
    </row>
    <row r="37" spans="2:9">
      <c r="B37" s="3"/>
      <c r="C37" s="20"/>
      <c r="D37" s="20"/>
      <c r="E37" s="20"/>
      <c r="F37" s="54"/>
      <c r="G37" s="20"/>
      <c r="H37" s="20"/>
      <c r="I37" s="56"/>
    </row>
    <row r="38" spans="2:9">
      <c r="B38" s="3" t="s">
        <v>35</v>
      </c>
      <c r="C38" s="57">
        <v>56407794</v>
      </c>
      <c r="D38" s="57">
        <v>54575011</v>
      </c>
      <c r="E38" s="57">
        <v>58338300</v>
      </c>
      <c r="F38" s="58">
        <v>61983532</v>
      </c>
      <c r="G38" s="57">
        <v>74147896</v>
      </c>
      <c r="H38" s="57">
        <v>90056448</v>
      </c>
      <c r="I38" s="59">
        <v>92325034</v>
      </c>
    </row>
    <row r="39" spans="2:9">
      <c r="B39" s="3"/>
      <c r="C39" s="20"/>
      <c r="D39" s="20"/>
      <c r="E39" s="20"/>
      <c r="F39" s="54"/>
      <c r="G39" s="20"/>
      <c r="H39" s="20"/>
      <c r="I39" s="28"/>
    </row>
    <row r="40" spans="2:9">
      <c r="B40" s="3" t="s">
        <v>36</v>
      </c>
      <c r="C40" s="69">
        <f>C36+C38</f>
        <v>98026240</v>
      </c>
      <c r="D40" s="69">
        <f>D36+D38</f>
        <v>95776806</v>
      </c>
      <c r="E40" s="69">
        <v>99358132</v>
      </c>
      <c r="F40" s="66">
        <v>105470713</v>
      </c>
      <c r="G40" s="69">
        <f>G36+G38</f>
        <v>127421051</v>
      </c>
      <c r="H40" s="69">
        <f>H36+H38</f>
        <v>144943572</v>
      </c>
      <c r="I40" s="67">
        <f>I36+I38</f>
        <v>170060828</v>
      </c>
    </row>
    <row r="41" spans="2:9">
      <c r="B41" s="3"/>
      <c r="C41" s="20"/>
      <c r="E41" s="20"/>
      <c r="F41" s="28"/>
    </row>
    <row r="42" spans="2:9">
      <c r="B42" s="3"/>
      <c r="C42" s="20"/>
      <c r="E42" s="20"/>
      <c r="F42" s="28"/>
    </row>
    <row r="43" spans="2:9">
      <c r="B43" s="2" t="s">
        <v>37</v>
      </c>
      <c r="C43" s="52"/>
      <c r="D43" s="52"/>
      <c r="E43" s="52"/>
      <c r="F43" s="68"/>
      <c r="G43" s="52"/>
      <c r="H43" s="52"/>
      <c r="I43" s="52"/>
    </row>
    <row r="44" spans="2:9">
      <c r="B44" s="3" t="s">
        <v>38</v>
      </c>
      <c r="C44" s="54">
        <v>2958773</v>
      </c>
      <c r="D44" s="55">
        <v>3222383</v>
      </c>
      <c r="E44" s="54">
        <v>3404476</v>
      </c>
      <c r="F44" s="54">
        <v>3949240</v>
      </c>
      <c r="G44" s="55">
        <v>3612718</v>
      </c>
      <c r="H44" s="55">
        <v>3382443</v>
      </c>
      <c r="I44" s="56">
        <v>3640175</v>
      </c>
    </row>
    <row r="45" spans="2:9">
      <c r="B45" s="3" t="s">
        <v>39</v>
      </c>
      <c r="C45" s="54">
        <v>952031</v>
      </c>
      <c r="D45" s="55">
        <v>867623</v>
      </c>
      <c r="E45" s="54">
        <v>1079653</v>
      </c>
      <c r="F45" s="54">
        <v>987862</v>
      </c>
      <c r="G45" s="55">
        <f>387227+469838</f>
        <v>857065</v>
      </c>
      <c r="H45" s="55">
        <v>769219</v>
      </c>
      <c r="I45" s="56">
        <v>865950</v>
      </c>
    </row>
    <row r="46" spans="2:9">
      <c r="B46" s="3" t="s">
        <v>40</v>
      </c>
      <c r="C46" s="54">
        <v>5641170</v>
      </c>
      <c r="D46" s="55">
        <v>6535132</v>
      </c>
      <c r="E46" s="54">
        <v>6585254</v>
      </c>
      <c r="F46" s="54">
        <v>7685589</v>
      </c>
      <c r="G46" s="55">
        <v>7985972</v>
      </c>
      <c r="H46" s="55">
        <v>7443366</v>
      </c>
      <c r="I46" s="56">
        <v>6783666</v>
      </c>
    </row>
    <row r="47" spans="2:9">
      <c r="B47" s="3" t="s">
        <v>41</v>
      </c>
      <c r="C47" s="54">
        <v>920255</v>
      </c>
      <c r="D47" s="55">
        <v>674942</v>
      </c>
      <c r="E47" s="54">
        <v>730651</v>
      </c>
      <c r="F47" s="54">
        <v>755282</v>
      </c>
      <c r="G47" s="55">
        <f>156612+564342.29</f>
        <v>720954.29</v>
      </c>
      <c r="H47" s="55">
        <v>724667</v>
      </c>
      <c r="I47" s="56">
        <v>762233</v>
      </c>
    </row>
    <row r="48" spans="2:9" ht="15">
      <c r="B48" s="3" t="s">
        <v>42</v>
      </c>
      <c r="C48" s="70">
        <v>8534385</v>
      </c>
      <c r="D48" s="71">
        <v>10421262</v>
      </c>
      <c r="E48" s="70">
        <v>10582620</v>
      </c>
      <c r="F48" s="70">
        <v>14686639</v>
      </c>
      <c r="G48" s="71">
        <v>14781382</v>
      </c>
      <c r="H48" s="71">
        <v>12484694</v>
      </c>
      <c r="I48" s="72">
        <v>13568637</v>
      </c>
    </row>
    <row r="49" spans="1:9">
      <c r="B49" s="3"/>
      <c r="C49" s="54"/>
      <c r="D49" s="20"/>
      <c r="E49" s="54"/>
      <c r="F49" s="54"/>
      <c r="G49" s="20"/>
      <c r="H49" s="20"/>
      <c r="I49" s="28"/>
    </row>
    <row r="50" spans="1:9">
      <c r="B50" s="3" t="s">
        <v>43</v>
      </c>
      <c r="C50" s="73">
        <f>SUM(C44:C49)</f>
        <v>19006614</v>
      </c>
      <c r="D50" s="73">
        <f>SUM(D44:D49)</f>
        <v>21721342</v>
      </c>
      <c r="E50" s="66">
        <v>22382654</v>
      </c>
      <c r="F50" s="66">
        <v>28064612</v>
      </c>
      <c r="G50" s="73">
        <f>SUM(G44:G48)</f>
        <v>27958091.289999999</v>
      </c>
      <c r="H50" s="73">
        <f>SUM(H44:H48)</f>
        <v>24804389</v>
      </c>
      <c r="I50" s="67">
        <f>SUM(I44:I49)</f>
        <v>25620661</v>
      </c>
    </row>
    <row r="52" spans="1:9" ht="21.75" customHeight="1">
      <c r="A52" s="10" t="s">
        <v>102</v>
      </c>
      <c r="B52" s="23"/>
      <c r="C52" s="18"/>
      <c r="D52" s="18"/>
      <c r="E52" s="18"/>
      <c r="F52" s="18"/>
      <c r="G52" s="18"/>
      <c r="H52" s="18"/>
      <c r="I52" s="18"/>
    </row>
    <row r="53" spans="1:9">
      <c r="B53" s="2" t="s">
        <v>44</v>
      </c>
      <c r="C53" s="52" t="s">
        <v>200</v>
      </c>
      <c r="D53" s="53" t="s">
        <v>164</v>
      </c>
      <c r="E53" s="52" t="s">
        <v>18</v>
      </c>
      <c r="F53" s="52" t="s">
        <v>19</v>
      </c>
      <c r="G53" s="53" t="s">
        <v>20</v>
      </c>
      <c r="H53" s="53" t="s">
        <v>21</v>
      </c>
      <c r="I53" s="52" t="s">
        <v>22</v>
      </c>
    </row>
    <row r="54" spans="1:9">
      <c r="B54" s="3" t="s">
        <v>45</v>
      </c>
      <c r="C54" s="54">
        <v>69753149</v>
      </c>
      <c r="D54" s="55">
        <v>77741926</v>
      </c>
      <c r="E54" s="54">
        <v>80736486</v>
      </c>
      <c r="F54" s="54">
        <v>90463374</v>
      </c>
      <c r="G54" s="55">
        <v>95726613</v>
      </c>
      <c r="H54" s="55">
        <v>99500651</v>
      </c>
      <c r="I54" s="56">
        <v>104913575</v>
      </c>
    </row>
    <row r="55" spans="1:9" ht="15">
      <c r="B55" s="3" t="s">
        <v>46</v>
      </c>
      <c r="C55" s="70">
        <v>-11213517</v>
      </c>
      <c r="D55" s="74">
        <v>-11979900</v>
      </c>
      <c r="E55" s="70">
        <v>-12488185</v>
      </c>
      <c r="F55" s="70">
        <v>-16695746</v>
      </c>
      <c r="G55" s="74">
        <v>-17096534</v>
      </c>
      <c r="H55" s="74">
        <v>-16816310</v>
      </c>
      <c r="I55" s="59">
        <v>-17163069</v>
      </c>
    </row>
    <row r="56" spans="1:9">
      <c r="B56" s="3"/>
      <c r="C56" s="54"/>
      <c r="D56" s="20"/>
      <c r="E56" s="54"/>
      <c r="F56" s="54"/>
      <c r="G56" s="20"/>
      <c r="H56" s="20"/>
      <c r="I56" s="56"/>
    </row>
    <row r="57" spans="1:9">
      <c r="B57" s="3" t="s">
        <v>47</v>
      </c>
      <c r="C57" s="55">
        <f>C54+C55</f>
        <v>58539632</v>
      </c>
      <c r="D57" s="55">
        <f>D54+D55</f>
        <v>65762026</v>
      </c>
      <c r="E57" s="55">
        <f>E54+E55</f>
        <v>68248301</v>
      </c>
      <c r="F57" s="54">
        <v>73767628</v>
      </c>
      <c r="G57" s="55">
        <f>G54+G55</f>
        <v>78630079</v>
      </c>
      <c r="H57" s="55">
        <f>H54+H55</f>
        <v>82684341</v>
      </c>
      <c r="I57" s="56">
        <f>SUM(I54:I56)</f>
        <v>87750506</v>
      </c>
    </row>
    <row r="58" spans="1:9">
      <c r="B58" s="3"/>
      <c r="C58" s="54"/>
      <c r="D58" s="20"/>
      <c r="E58" s="54"/>
      <c r="F58" s="54"/>
      <c r="G58" s="20"/>
      <c r="H58" s="20"/>
      <c r="I58" s="56"/>
    </row>
    <row r="59" spans="1:9">
      <c r="B59" s="3" t="s">
        <v>48</v>
      </c>
      <c r="C59" s="54">
        <v>2437607</v>
      </c>
      <c r="D59" s="55">
        <v>4782732</v>
      </c>
      <c r="E59" s="54">
        <v>4618836</v>
      </c>
      <c r="F59" s="54">
        <v>5190813</v>
      </c>
      <c r="G59" s="55">
        <v>10321740</v>
      </c>
      <c r="H59" s="55">
        <v>7465609</v>
      </c>
      <c r="I59" s="56">
        <v>4037981</v>
      </c>
    </row>
    <row r="60" spans="1:9">
      <c r="B60" s="3" t="s">
        <v>49</v>
      </c>
      <c r="C60" s="54">
        <v>985045</v>
      </c>
      <c r="D60" s="55">
        <v>998783</v>
      </c>
      <c r="E60" s="54">
        <v>1232907</v>
      </c>
      <c r="F60" s="54">
        <v>1355109</v>
      </c>
      <c r="G60" s="55">
        <v>1114701</v>
      </c>
      <c r="H60" s="55">
        <v>1002533</v>
      </c>
      <c r="I60" s="56">
        <v>1276193</v>
      </c>
    </row>
    <row r="61" spans="1:9">
      <c r="B61" s="3" t="s">
        <v>50</v>
      </c>
      <c r="C61" s="56"/>
      <c r="D61" s="55"/>
      <c r="E61" s="56"/>
      <c r="F61" s="54"/>
      <c r="G61" s="55">
        <v>413918</v>
      </c>
      <c r="H61" s="55">
        <v>558787</v>
      </c>
      <c r="I61" s="56">
        <v>499935</v>
      </c>
    </row>
    <row r="62" spans="1:9">
      <c r="B62" s="3" t="s">
        <v>51</v>
      </c>
      <c r="C62" s="54">
        <v>1386455</v>
      </c>
      <c r="D62" s="55">
        <v>1106932</v>
      </c>
      <c r="E62" s="54">
        <v>4084049</v>
      </c>
      <c r="F62" s="54">
        <v>2710215</v>
      </c>
      <c r="G62" s="55">
        <f>2711874+3028909</f>
        <v>5740783</v>
      </c>
      <c r="H62" s="55">
        <f>2189799+5324178</f>
        <v>7513977</v>
      </c>
      <c r="I62" s="56">
        <f>2020482-1982582</f>
        <v>37900</v>
      </c>
    </row>
    <row r="63" spans="1:9">
      <c r="B63" s="3" t="s">
        <v>52</v>
      </c>
      <c r="C63" s="54">
        <v>2988574</v>
      </c>
      <c r="D63" s="55">
        <v>3508096</v>
      </c>
      <c r="E63" s="54">
        <v>3750005</v>
      </c>
      <c r="F63" s="54">
        <v>4333370</v>
      </c>
      <c r="G63" s="55">
        <v>4236733</v>
      </c>
      <c r="H63" s="55">
        <v>4108151</v>
      </c>
      <c r="I63" s="56">
        <v>4118527</v>
      </c>
    </row>
    <row r="64" spans="1:9">
      <c r="B64" s="3" t="s">
        <v>53</v>
      </c>
      <c r="C64" s="54">
        <v>1001870</v>
      </c>
      <c r="D64" s="55">
        <v>318000</v>
      </c>
      <c r="E64" s="54">
        <v>25000</v>
      </c>
      <c r="F64" s="54">
        <v>10000</v>
      </c>
      <c r="G64" s="55">
        <v>103753</v>
      </c>
      <c r="H64" s="55">
        <v>85000</v>
      </c>
      <c r="I64" s="56">
        <v>220000</v>
      </c>
    </row>
    <row r="65" spans="1:9">
      <c r="B65" s="3" t="s">
        <v>54</v>
      </c>
      <c r="C65" s="56"/>
      <c r="D65" s="55"/>
      <c r="E65" s="56"/>
      <c r="F65" s="54"/>
      <c r="G65" s="55">
        <v>1088845</v>
      </c>
      <c r="H65" s="55">
        <v>1503506</v>
      </c>
      <c r="I65" s="56">
        <v>1330530</v>
      </c>
    </row>
    <row r="66" spans="1:9" ht="15">
      <c r="B66" s="3" t="s">
        <v>55</v>
      </c>
      <c r="C66" s="70">
        <v>1149204</v>
      </c>
      <c r="D66" s="71">
        <v>981308</v>
      </c>
      <c r="E66" s="70">
        <v>1131016</v>
      </c>
      <c r="F66" s="70">
        <v>1271781</v>
      </c>
      <c r="G66" s="71">
        <v>922880</v>
      </c>
      <c r="H66" s="71">
        <v>1117382</v>
      </c>
      <c r="I66" s="59">
        <v>917145</v>
      </c>
    </row>
    <row r="67" spans="1:9">
      <c r="B67" s="3"/>
      <c r="C67" s="54"/>
      <c r="D67" s="20"/>
      <c r="E67" s="54"/>
      <c r="F67" s="54"/>
      <c r="G67" s="20"/>
      <c r="H67" s="20"/>
      <c r="I67" s="56"/>
    </row>
    <row r="68" spans="1:9">
      <c r="B68" s="3" t="s">
        <v>56</v>
      </c>
      <c r="C68" s="75">
        <f>SUM(C59:C67)+C57</f>
        <v>68488387</v>
      </c>
      <c r="D68" s="75">
        <f>SUM(D59:D67)+D57</f>
        <v>77457877</v>
      </c>
      <c r="E68" s="66">
        <v>83130114</v>
      </c>
      <c r="F68" s="66">
        <v>88638916</v>
      </c>
      <c r="G68" s="75">
        <f>G57+SUM(G59:G66)</f>
        <v>102573432</v>
      </c>
      <c r="H68" s="75">
        <f>H57+SUM(H59:H66)</f>
        <v>106039286</v>
      </c>
      <c r="I68" s="76">
        <f>SUM(I59:I67)+I57</f>
        <v>100188717</v>
      </c>
    </row>
    <row r="69" spans="1:9">
      <c r="A69" s="13" t="s">
        <v>44</v>
      </c>
      <c r="B69" s="2"/>
      <c r="C69" s="52" t="s">
        <v>200</v>
      </c>
      <c r="D69" s="53" t="s">
        <v>164</v>
      </c>
      <c r="E69" s="52" t="s">
        <v>18</v>
      </c>
      <c r="F69" s="52" t="s">
        <v>19</v>
      </c>
      <c r="G69" s="53" t="s">
        <v>20</v>
      </c>
      <c r="H69" s="53" t="s">
        <v>21</v>
      </c>
      <c r="I69" s="52" t="s">
        <v>22</v>
      </c>
    </row>
    <row r="70" spans="1:9">
      <c r="B70" s="143" t="s">
        <v>165</v>
      </c>
      <c r="C70" s="135">
        <f>C54/C68</f>
        <v>1.0184668095629117</v>
      </c>
      <c r="D70" s="135">
        <f t="shared" ref="D70:I70" si="6">D54/D68</f>
        <v>1.0036671415613418</v>
      </c>
      <c r="E70" s="135">
        <f t="shared" si="6"/>
        <v>0.97120624663163579</v>
      </c>
      <c r="F70" s="135">
        <f t="shared" si="6"/>
        <v>1.0205830360109549</v>
      </c>
      <c r="G70" s="135">
        <f t="shared" si="6"/>
        <v>0.93324958650111267</v>
      </c>
      <c r="H70" s="135">
        <f t="shared" si="6"/>
        <v>0.93833761762598067</v>
      </c>
      <c r="I70" s="135">
        <f t="shared" si="6"/>
        <v>1.0471595818519166</v>
      </c>
    </row>
    <row r="71" spans="1:9">
      <c r="B71" s="143" t="s">
        <v>46</v>
      </c>
      <c r="C71" s="13"/>
      <c r="D71" s="13"/>
      <c r="E71" s="13"/>
      <c r="F71" s="13"/>
      <c r="G71" s="13"/>
      <c r="H71" s="13"/>
      <c r="I71" s="13"/>
    </row>
    <row r="72" spans="1:9">
      <c r="B72" s="143"/>
      <c r="C72" s="13"/>
      <c r="D72" s="13"/>
      <c r="E72" s="13"/>
      <c r="F72" s="13"/>
      <c r="G72" s="13"/>
      <c r="H72" s="13"/>
      <c r="I72" s="13"/>
    </row>
    <row r="73" spans="1:9">
      <c r="B73" s="143" t="s">
        <v>166</v>
      </c>
      <c r="C73" s="47">
        <f t="shared" ref="C73:I73" si="7">C57/C$68</f>
        <v>0.85473807406210345</v>
      </c>
      <c r="D73" s="47">
        <f t="shared" si="7"/>
        <v>0.84900372366260435</v>
      </c>
      <c r="E73" s="47">
        <f t="shared" si="7"/>
        <v>0.82098168420651996</v>
      </c>
      <c r="F73" s="47">
        <f t="shared" si="7"/>
        <v>0.83222619735105963</v>
      </c>
      <c r="G73" s="47">
        <f t="shared" si="7"/>
        <v>0.7665735411875465</v>
      </c>
      <c r="H73" s="47">
        <f t="shared" si="7"/>
        <v>0.77975195909938511</v>
      </c>
      <c r="I73" s="47">
        <f t="shared" si="7"/>
        <v>0.87585217804515847</v>
      </c>
    </row>
    <row r="74" spans="1:9">
      <c r="B74" s="143"/>
      <c r="C74" s="47"/>
      <c r="D74" s="47"/>
      <c r="E74" s="47"/>
      <c r="F74" s="47"/>
      <c r="G74" s="47"/>
      <c r="H74" s="47"/>
      <c r="I74" s="47"/>
    </row>
    <row r="75" spans="1:9">
      <c r="B75" s="143" t="s">
        <v>167</v>
      </c>
      <c r="C75" s="47">
        <f t="shared" ref="C75:I82" si="8">C59/C$68</f>
        <v>3.5591537584320682E-2</v>
      </c>
      <c r="D75" s="47">
        <f t="shared" si="8"/>
        <v>6.1746231438798663E-2</v>
      </c>
      <c r="E75" s="47">
        <f t="shared" si="8"/>
        <v>5.5561526115554226E-2</v>
      </c>
      <c r="F75" s="47">
        <f t="shared" si="8"/>
        <v>5.8561332135424582E-2</v>
      </c>
      <c r="G75" s="47">
        <f t="shared" si="8"/>
        <v>0.10062781169299279</v>
      </c>
      <c r="H75" s="47">
        <f t="shared" si="8"/>
        <v>7.0404180201666014E-2</v>
      </c>
      <c r="I75" s="47">
        <f t="shared" si="8"/>
        <v>4.0303749972165029E-2</v>
      </c>
    </row>
    <row r="76" spans="1:9">
      <c r="B76" s="143" t="s">
        <v>168</v>
      </c>
      <c r="C76" s="47">
        <f t="shared" si="8"/>
        <v>1.4382657310939444E-2</v>
      </c>
      <c r="D76" s="47">
        <f t="shared" si="8"/>
        <v>1.2894531049437361E-2</v>
      </c>
      <c r="E76" s="47">
        <f t="shared" si="8"/>
        <v>1.4831051476724788E-2</v>
      </c>
      <c r="F76" s="47">
        <f t="shared" si="8"/>
        <v>1.5287968999981904E-2</v>
      </c>
      <c r="G76" s="47">
        <f t="shared" si="8"/>
        <v>1.0867346234451822E-2</v>
      </c>
      <c r="H76" s="47">
        <f t="shared" si="8"/>
        <v>9.454354492730176E-3</v>
      </c>
      <c r="I76" s="47">
        <f t="shared" si="8"/>
        <v>1.2737891433423586E-2</v>
      </c>
    </row>
    <row r="77" spans="1:9">
      <c r="B77" s="143" t="s">
        <v>169</v>
      </c>
      <c r="C77" s="47">
        <f t="shared" si="8"/>
        <v>0</v>
      </c>
      <c r="D77" s="47">
        <f t="shared" si="8"/>
        <v>0</v>
      </c>
      <c r="E77" s="47">
        <f t="shared" si="8"/>
        <v>0</v>
      </c>
      <c r="F77" s="47">
        <f t="shared" si="8"/>
        <v>0</v>
      </c>
      <c r="G77" s="47">
        <f t="shared" si="8"/>
        <v>4.035333437999813E-3</v>
      </c>
      <c r="H77" s="47">
        <f t="shared" si="8"/>
        <v>5.2696224303132328E-3</v>
      </c>
      <c r="I77" s="47">
        <f t="shared" si="8"/>
        <v>4.9899331478613501E-3</v>
      </c>
    </row>
    <row r="78" spans="1:9">
      <c r="B78" s="143" t="s">
        <v>170</v>
      </c>
      <c r="C78" s="47">
        <f t="shared" si="8"/>
        <v>2.0243650941874278E-2</v>
      </c>
      <c r="D78" s="47">
        <f t="shared" si="8"/>
        <v>1.4290760899630647E-2</v>
      </c>
      <c r="E78" s="47">
        <f t="shared" si="8"/>
        <v>4.9128394073897214E-2</v>
      </c>
      <c r="F78" s="47">
        <f t="shared" si="8"/>
        <v>3.0575904154784565E-2</v>
      </c>
      <c r="G78" s="47">
        <f t="shared" si="8"/>
        <v>5.5967543330323589E-2</v>
      </c>
      <c r="H78" s="47">
        <f t="shared" si="8"/>
        <v>7.0860313035302783E-2</v>
      </c>
      <c r="I78" s="47">
        <f t="shared" si="8"/>
        <v>3.7828610980216462E-4</v>
      </c>
    </row>
    <row r="79" spans="1:9">
      <c r="B79" s="143" t="s">
        <v>171</v>
      </c>
      <c r="C79" s="47">
        <f t="shared" si="8"/>
        <v>4.3636215290046181E-2</v>
      </c>
      <c r="D79" s="47">
        <f t="shared" si="8"/>
        <v>4.5290371178130791E-2</v>
      </c>
      <c r="E79" s="47">
        <f t="shared" si="8"/>
        <v>4.5110066852548765E-2</v>
      </c>
      <c r="F79" s="47">
        <f t="shared" si="8"/>
        <v>4.8887894793298241E-2</v>
      </c>
      <c r="G79" s="47">
        <f t="shared" si="8"/>
        <v>4.1304389620111376E-2</v>
      </c>
      <c r="H79" s="47">
        <f t="shared" si="8"/>
        <v>3.8741782927508586E-2</v>
      </c>
      <c r="I79" s="47">
        <f t="shared" si="8"/>
        <v>4.1107692795387327E-2</v>
      </c>
    </row>
    <row r="80" spans="1:9">
      <c r="B80" s="143" t="s">
        <v>172</v>
      </c>
      <c r="C80" s="47">
        <f t="shared" si="8"/>
        <v>1.4628319396688376E-2</v>
      </c>
      <c r="D80" s="47">
        <f t="shared" si="8"/>
        <v>4.1054572151519204E-3</v>
      </c>
      <c r="E80" s="47">
        <f t="shared" si="8"/>
        <v>3.0073337803915437E-4</v>
      </c>
      <c r="F80" s="47">
        <f t="shared" si="8"/>
        <v>1.1281726414614547E-4</v>
      </c>
      <c r="G80" s="47">
        <f t="shared" si="8"/>
        <v>1.0114997419604717E-3</v>
      </c>
      <c r="H80" s="47">
        <f t="shared" si="8"/>
        <v>8.0158970515889743E-4</v>
      </c>
      <c r="I80" s="47">
        <f t="shared" si="8"/>
        <v>2.1958560463450189E-3</v>
      </c>
    </row>
    <row r="81" spans="2:9">
      <c r="B81" s="143" t="s">
        <v>173</v>
      </c>
      <c r="C81" s="47">
        <f t="shared" si="8"/>
        <v>0</v>
      </c>
      <c r="D81" s="47">
        <f t="shared" si="8"/>
        <v>0</v>
      </c>
      <c r="E81" s="47">
        <f t="shared" si="8"/>
        <v>0</v>
      </c>
      <c r="F81" s="47">
        <f t="shared" si="8"/>
        <v>0</v>
      </c>
      <c r="G81" s="47">
        <f t="shared" si="8"/>
        <v>1.0615273163522499E-2</v>
      </c>
      <c r="H81" s="47">
        <f t="shared" si="8"/>
        <v>1.4178763896995685E-2</v>
      </c>
      <c r="I81" s="47">
        <f t="shared" si="8"/>
        <v>1.3280237933379265E-2</v>
      </c>
    </row>
    <row r="82" spans="2:9">
      <c r="B82" s="143" t="s">
        <v>6</v>
      </c>
      <c r="C82" s="47">
        <f t="shared" si="8"/>
        <v>1.6779545414027635E-2</v>
      </c>
      <c r="D82" s="47">
        <f t="shared" si="8"/>
        <v>1.2668924556246229E-2</v>
      </c>
      <c r="E82" s="47">
        <f t="shared" si="8"/>
        <v>1.3605370491853289E-2</v>
      </c>
      <c r="F82" s="47">
        <f t="shared" si="8"/>
        <v>1.4347885301304902E-2</v>
      </c>
      <c r="G82" s="47">
        <f t="shared" si="8"/>
        <v>8.9972615910911512E-3</v>
      </c>
      <c r="H82" s="47">
        <f t="shared" si="8"/>
        <v>1.0537434210939519E-2</v>
      </c>
      <c r="I82" s="47">
        <f t="shared" si="8"/>
        <v>9.1541745164777383E-3</v>
      </c>
    </row>
    <row r="83" spans="2:9">
      <c r="C83" s="47"/>
      <c r="D83" s="47"/>
      <c r="E83" s="47"/>
      <c r="F83" s="47"/>
      <c r="G83" s="47"/>
      <c r="H83" s="47"/>
      <c r="I83" s="47"/>
    </row>
    <row r="84" spans="2:9">
      <c r="B84" s="3" t="s">
        <v>174</v>
      </c>
      <c r="C84" s="75">
        <f>C68</f>
        <v>68488387</v>
      </c>
      <c r="D84" s="75">
        <f>D68</f>
        <v>77457877</v>
      </c>
      <c r="E84" s="75">
        <f t="shared" ref="E84:I84" si="9">E68</f>
        <v>83130114</v>
      </c>
      <c r="F84" s="75">
        <f t="shared" si="9"/>
        <v>88638916</v>
      </c>
      <c r="G84" s="75">
        <f t="shared" si="9"/>
        <v>102573432</v>
      </c>
      <c r="H84" s="75">
        <f t="shared" si="9"/>
        <v>106039286</v>
      </c>
      <c r="I84" s="75">
        <f t="shared" si="9"/>
        <v>100188717</v>
      </c>
    </row>
    <row r="85" spans="2:9">
      <c r="B85" s="3"/>
      <c r="C85" s="20"/>
      <c r="D85" s="20"/>
      <c r="E85" s="20"/>
      <c r="F85" s="54"/>
      <c r="G85" s="20"/>
      <c r="H85" s="20"/>
      <c r="I85" s="28"/>
    </row>
    <row r="86" spans="2:9">
      <c r="B86" s="2" t="s">
        <v>57</v>
      </c>
      <c r="C86" s="52"/>
      <c r="D86" s="52"/>
      <c r="E86" s="52"/>
      <c r="F86" s="68"/>
      <c r="G86" s="52"/>
      <c r="H86" s="52"/>
      <c r="I86" s="52"/>
    </row>
    <row r="87" spans="2:9">
      <c r="B87" s="3" t="s">
        <v>177</v>
      </c>
      <c r="C87" s="54">
        <v>37234290</v>
      </c>
      <c r="D87" s="55">
        <v>40859841</v>
      </c>
      <c r="E87" s="54">
        <v>42772144</v>
      </c>
      <c r="F87" s="54">
        <v>42967152</v>
      </c>
      <c r="G87" s="55">
        <v>41252341</v>
      </c>
      <c r="H87" s="55">
        <v>42028834</v>
      </c>
      <c r="I87" s="56">
        <v>44061791</v>
      </c>
    </row>
    <row r="88" spans="2:9">
      <c r="B88" s="3" t="s">
        <v>178</v>
      </c>
      <c r="C88" s="54">
        <v>9081676</v>
      </c>
      <c r="D88" s="55">
        <v>9523780</v>
      </c>
      <c r="E88" s="54">
        <v>9140230</v>
      </c>
      <c r="F88" s="54">
        <v>14961489</v>
      </c>
      <c r="G88" s="55">
        <v>14074638</v>
      </c>
      <c r="H88" s="55">
        <v>13175567</v>
      </c>
      <c r="I88" s="56">
        <v>14753703</v>
      </c>
    </row>
    <row r="89" spans="2:9">
      <c r="B89" s="3" t="s">
        <v>179</v>
      </c>
      <c r="C89" s="54">
        <v>10073053</v>
      </c>
      <c r="D89" s="55">
        <v>10832060</v>
      </c>
      <c r="E89" s="54">
        <v>10585736</v>
      </c>
      <c r="F89" s="54">
        <v>11062904</v>
      </c>
      <c r="G89" s="55">
        <v>11285116</v>
      </c>
      <c r="H89" s="55">
        <v>10136019</v>
      </c>
      <c r="I89" s="56">
        <v>11449342</v>
      </c>
    </row>
    <row r="90" spans="2:9">
      <c r="B90" s="3" t="s">
        <v>180</v>
      </c>
      <c r="C90" s="54">
        <v>14069209</v>
      </c>
      <c r="D90" s="55">
        <v>13643676</v>
      </c>
      <c r="E90" s="54">
        <v>12371895</v>
      </c>
      <c r="F90" s="54">
        <v>11444907</v>
      </c>
      <c r="G90" s="55">
        <f>17216902+2286267+87262+441160</f>
        <v>20031591</v>
      </c>
      <c r="H90" s="55">
        <f>21623439+508223</f>
        <v>22131662</v>
      </c>
      <c r="I90" s="56">
        <f>24800862+466044</f>
        <v>25266906</v>
      </c>
    </row>
    <row r="91" spans="2:9" ht="15">
      <c r="B91" s="3" t="s">
        <v>171</v>
      </c>
      <c r="C91" s="70">
        <v>4380707</v>
      </c>
      <c r="D91" s="71">
        <v>4431303</v>
      </c>
      <c r="E91" s="70">
        <v>4496820</v>
      </c>
      <c r="F91" s="70">
        <v>4557232</v>
      </c>
      <c r="G91" s="71">
        <v>3765382</v>
      </c>
      <c r="H91" s="71">
        <v>2658652</v>
      </c>
      <c r="I91" s="59">
        <v>2388119</v>
      </c>
    </row>
    <row r="92" spans="2:9">
      <c r="B92" s="3"/>
      <c r="C92" s="54"/>
      <c r="D92" s="20"/>
      <c r="E92" s="54"/>
      <c r="F92" s="54"/>
      <c r="G92" s="20"/>
      <c r="H92" s="20"/>
      <c r="I92" s="28"/>
    </row>
    <row r="93" spans="2:9" ht="15">
      <c r="B93" s="3" t="s">
        <v>176</v>
      </c>
      <c r="C93" s="71">
        <f>SUM(C87:C92)</f>
        <v>74838935</v>
      </c>
      <c r="D93" s="71">
        <f>SUM(D87:D92)</f>
        <v>79290660</v>
      </c>
      <c r="E93" s="70">
        <v>79366825</v>
      </c>
      <c r="F93" s="70">
        <v>84993684</v>
      </c>
      <c r="G93" s="71">
        <f>SUM(G87:G92)</f>
        <v>90409068</v>
      </c>
      <c r="H93" s="71">
        <f>SUM(H87:H92)</f>
        <v>90130734</v>
      </c>
      <c r="I93" s="77">
        <f>SUM(I87:I92)</f>
        <v>97919861</v>
      </c>
    </row>
    <row r="94" spans="2:9">
      <c r="B94" s="3"/>
      <c r="C94" s="54"/>
      <c r="D94" s="20"/>
      <c r="E94" s="54"/>
      <c r="F94" s="54"/>
      <c r="G94" s="20"/>
      <c r="H94" s="20"/>
      <c r="I94" s="28"/>
    </row>
    <row r="95" spans="2:9">
      <c r="B95" s="3" t="s">
        <v>58</v>
      </c>
      <c r="C95" s="54">
        <v>-6350548</v>
      </c>
      <c r="D95" s="61">
        <v>-1832783</v>
      </c>
      <c r="E95" s="54">
        <v>3763289</v>
      </c>
      <c r="F95" s="54">
        <v>3645232</v>
      </c>
      <c r="G95" s="61">
        <f>G68-G93</f>
        <v>12164364</v>
      </c>
      <c r="H95" s="61">
        <f>H68-H93</f>
        <v>15908552</v>
      </c>
      <c r="I95" s="78">
        <f>I68-I93</f>
        <v>2268856</v>
      </c>
    </row>
    <row r="96" spans="2:9">
      <c r="B96" s="3"/>
      <c r="C96" s="54"/>
      <c r="D96" s="20"/>
      <c r="E96" s="54"/>
      <c r="F96" s="54"/>
      <c r="G96" s="20"/>
      <c r="H96" s="20"/>
      <c r="I96" s="28"/>
    </row>
    <row r="97" spans="1:10">
      <c r="B97" s="3" t="s">
        <v>59</v>
      </c>
      <c r="C97" s="54">
        <v>62758342</v>
      </c>
      <c r="D97" s="55">
        <v>56407794</v>
      </c>
      <c r="E97" s="54">
        <v>54575011</v>
      </c>
      <c r="F97" s="54">
        <v>58338300</v>
      </c>
      <c r="G97" s="55">
        <v>61983532</v>
      </c>
      <c r="H97" s="55">
        <v>74147896</v>
      </c>
      <c r="I97" s="56">
        <v>90056448</v>
      </c>
    </row>
    <row r="98" spans="1:10">
      <c r="B98" s="3"/>
      <c r="C98" s="54"/>
      <c r="D98" s="20"/>
      <c r="E98" s="54"/>
      <c r="F98" s="54"/>
      <c r="G98" s="20"/>
      <c r="H98" s="20"/>
      <c r="I98" s="56"/>
    </row>
    <row r="99" spans="1:10">
      <c r="B99" s="3" t="s">
        <v>60</v>
      </c>
      <c r="C99" s="69">
        <f t="shared" ref="C99:H99" si="10">C97+C95</f>
        <v>56407794</v>
      </c>
      <c r="D99" s="69">
        <f t="shared" si="10"/>
        <v>54575011</v>
      </c>
      <c r="E99" s="69">
        <f t="shared" si="10"/>
        <v>58338300</v>
      </c>
      <c r="F99" s="69">
        <f t="shared" si="10"/>
        <v>61983532</v>
      </c>
      <c r="G99" s="69">
        <f t="shared" si="10"/>
        <v>74147896</v>
      </c>
      <c r="H99" s="69">
        <f t="shared" si="10"/>
        <v>90056448</v>
      </c>
      <c r="I99" s="76">
        <v>92325034</v>
      </c>
    </row>
    <row r="100" spans="1:10">
      <c r="A100" s="146" t="s">
        <v>175</v>
      </c>
      <c r="B100" s="2"/>
      <c r="C100" s="52" t="s">
        <v>200</v>
      </c>
      <c r="D100" s="53" t="s">
        <v>164</v>
      </c>
      <c r="E100" s="52" t="s">
        <v>18</v>
      </c>
      <c r="F100" s="52" t="s">
        <v>19</v>
      </c>
      <c r="G100" s="53" t="s">
        <v>20</v>
      </c>
      <c r="H100" s="53" t="s">
        <v>21</v>
      </c>
      <c r="I100" s="52" t="s">
        <v>22</v>
      </c>
    </row>
    <row r="101" spans="1:10">
      <c r="B101" s="13" t="str">
        <f>B87</f>
        <v>Instruction</v>
      </c>
      <c r="C101" s="27">
        <f t="shared" ref="C101:I105" si="11">C87/C$93</f>
        <v>0.49752565292384238</v>
      </c>
      <c r="D101" s="27">
        <f t="shared" si="11"/>
        <v>0.5153172012945787</v>
      </c>
      <c r="E101" s="27">
        <f t="shared" si="11"/>
        <v>0.53891716091704567</v>
      </c>
      <c r="F101" s="27">
        <f t="shared" si="11"/>
        <v>0.50553346999289972</v>
      </c>
      <c r="G101" s="27">
        <f t="shared" si="11"/>
        <v>0.45628543588127685</v>
      </c>
      <c r="H101" s="27">
        <f t="shared" si="11"/>
        <v>0.46630968299892023</v>
      </c>
      <c r="I101" s="27">
        <f t="shared" si="11"/>
        <v>0.4499780795236219</v>
      </c>
    </row>
    <row r="102" spans="1:10">
      <c r="B102" s="13" t="str">
        <f t="shared" ref="B102:B107" si="12">B88</f>
        <v>Academic support</v>
      </c>
      <c r="C102" s="27">
        <f t="shared" si="11"/>
        <v>0.12134961567798901</v>
      </c>
      <c r="D102" s="27">
        <f t="shared" si="11"/>
        <v>0.12011225534003626</v>
      </c>
      <c r="E102" s="27">
        <f t="shared" si="11"/>
        <v>0.11516436495979271</v>
      </c>
      <c r="F102" s="27">
        <f t="shared" si="11"/>
        <v>0.17603059775594621</v>
      </c>
      <c r="G102" s="27">
        <f t="shared" si="11"/>
        <v>0.15567728228323291</v>
      </c>
      <c r="H102" s="27">
        <f t="shared" si="11"/>
        <v>0.14618284369014459</v>
      </c>
      <c r="I102" s="27">
        <f t="shared" si="11"/>
        <v>0.15067120040131593</v>
      </c>
    </row>
    <row r="103" spans="1:10">
      <c r="B103" s="13" t="str">
        <f t="shared" si="12"/>
        <v>Student services</v>
      </c>
      <c r="C103" s="27">
        <f t="shared" si="11"/>
        <v>0.13459642363964694</v>
      </c>
      <c r="D103" s="27">
        <f t="shared" si="11"/>
        <v>0.13661205493812259</v>
      </c>
      <c r="E103" s="27">
        <f t="shared" si="11"/>
        <v>0.13337733996540746</v>
      </c>
      <c r="F103" s="27">
        <f t="shared" si="11"/>
        <v>0.13016148352858783</v>
      </c>
      <c r="G103" s="27">
        <f t="shared" si="11"/>
        <v>0.12482283303705774</v>
      </c>
      <c r="H103" s="27">
        <f t="shared" si="11"/>
        <v>0.11245907528058076</v>
      </c>
      <c r="I103" s="27">
        <f t="shared" si="11"/>
        <v>0.11692563575023866</v>
      </c>
    </row>
    <row r="104" spans="1:10">
      <c r="B104" s="13" t="str">
        <f t="shared" si="12"/>
        <v>Institutional support</v>
      </c>
      <c r="C104" s="27">
        <f t="shared" si="11"/>
        <v>0.1879931749429625</v>
      </c>
      <c r="D104" s="27">
        <f t="shared" si="11"/>
        <v>0.17207166644848207</v>
      </c>
      <c r="E104" s="27">
        <f t="shared" si="11"/>
        <v>0.15588244836554821</v>
      </c>
      <c r="F104" s="27">
        <f t="shared" si="11"/>
        <v>0.13465597043657973</v>
      </c>
      <c r="G104" s="27">
        <f t="shared" si="11"/>
        <v>0.22156617077393165</v>
      </c>
      <c r="H104" s="27">
        <f t="shared" si="11"/>
        <v>0.24555066865426836</v>
      </c>
      <c r="I104" s="27">
        <f t="shared" si="11"/>
        <v>0.25803657952496478</v>
      </c>
    </row>
    <row r="105" spans="1:10">
      <c r="B105" s="13" t="str">
        <f t="shared" si="12"/>
        <v>Auxiliary enterprises</v>
      </c>
      <c r="C105" s="27">
        <f t="shared" si="11"/>
        <v>5.8535132815559172E-2</v>
      </c>
      <c r="D105" s="27">
        <f t="shared" si="11"/>
        <v>5.5886821978780352E-2</v>
      </c>
      <c r="E105" s="27">
        <f t="shared" si="11"/>
        <v>5.6658685792206002E-2</v>
      </c>
      <c r="F105" s="27">
        <f t="shared" si="11"/>
        <v>5.3618478285986523E-2</v>
      </c>
      <c r="G105" s="27">
        <f t="shared" si="11"/>
        <v>4.1648278024500815E-2</v>
      </c>
      <c r="H105" s="27">
        <f t="shared" si="11"/>
        <v>2.9497729376086076E-2</v>
      </c>
      <c r="I105" s="27">
        <f t="shared" si="11"/>
        <v>2.4388504799858733E-2</v>
      </c>
    </row>
    <row r="106" spans="1:10">
      <c r="C106" s="27"/>
      <c r="D106" s="27"/>
      <c r="E106" s="27"/>
      <c r="F106" s="27"/>
      <c r="G106" s="27"/>
      <c r="H106" s="27"/>
      <c r="I106" s="27"/>
    </row>
    <row r="107" spans="1:10">
      <c r="B107" s="13" t="str">
        <f t="shared" si="12"/>
        <v>Total expenses</v>
      </c>
      <c r="C107" s="42">
        <f t="shared" ref="C107" si="13">C93</f>
        <v>74838935</v>
      </c>
      <c r="D107" s="42">
        <f>D93</f>
        <v>79290660</v>
      </c>
      <c r="E107" s="42">
        <f t="shared" ref="E107:I107" si="14">E93</f>
        <v>79366825</v>
      </c>
      <c r="F107" s="42">
        <f t="shared" si="14"/>
        <v>84993684</v>
      </c>
      <c r="G107" s="42">
        <f t="shared" si="14"/>
        <v>90409068</v>
      </c>
      <c r="H107" s="42">
        <f t="shared" si="14"/>
        <v>90130734</v>
      </c>
      <c r="I107" s="42">
        <f t="shared" si="14"/>
        <v>97919861</v>
      </c>
    </row>
    <row r="109" spans="1:10" ht="21.75" customHeight="1">
      <c r="A109" s="14" t="s">
        <v>105</v>
      </c>
      <c r="B109" s="14"/>
      <c r="C109" s="15"/>
      <c r="D109" s="15"/>
      <c r="E109" s="15"/>
      <c r="F109" s="16"/>
      <c r="G109" s="16"/>
      <c r="H109" s="16"/>
      <c r="I109" s="16"/>
      <c r="J109" s="16"/>
    </row>
    <row r="110" spans="1:10" ht="21.75" customHeight="1">
      <c r="A110" s="10" t="s">
        <v>144</v>
      </c>
      <c r="B110" s="23"/>
      <c r="C110" s="17">
        <v>2001</v>
      </c>
      <c r="D110" s="17">
        <v>2002</v>
      </c>
      <c r="E110" s="17">
        <v>2003</v>
      </c>
      <c r="F110" s="18">
        <v>2004</v>
      </c>
      <c r="G110" s="18">
        <f>F110+1</f>
        <v>2005</v>
      </c>
      <c r="H110" s="18">
        <f t="shared" ref="H110" si="15">G110+1</f>
        <v>2006</v>
      </c>
      <c r="I110" s="18">
        <f t="shared" ref="I110" si="16">H110+1</f>
        <v>2007</v>
      </c>
      <c r="J110" s="18">
        <f t="shared" ref="J110" si="17">I110+1</f>
        <v>2008</v>
      </c>
    </row>
    <row r="111" spans="1:10">
      <c r="B111" s="34" t="s">
        <v>182</v>
      </c>
      <c r="C111" s="43">
        <v>1165</v>
      </c>
      <c r="D111" s="43">
        <v>1261</v>
      </c>
      <c r="E111" s="43">
        <v>1399</v>
      </c>
      <c r="F111" s="43">
        <v>1654</v>
      </c>
      <c r="G111" s="44">
        <v>1638</v>
      </c>
      <c r="H111" s="44">
        <v>1609</v>
      </c>
      <c r="I111" s="44">
        <v>1540</v>
      </c>
      <c r="J111" s="44">
        <v>1659</v>
      </c>
    </row>
    <row r="112" spans="1:10">
      <c r="B112" s="32" t="s">
        <v>88</v>
      </c>
      <c r="C112" s="41"/>
      <c r="D112" s="41"/>
      <c r="E112" s="41"/>
      <c r="F112" s="41">
        <v>449</v>
      </c>
      <c r="G112" s="42">
        <v>406</v>
      </c>
      <c r="H112" s="42">
        <v>379</v>
      </c>
      <c r="I112" s="42">
        <v>335</v>
      </c>
      <c r="J112" s="42">
        <v>312</v>
      </c>
    </row>
    <row r="113" spans="1:11">
      <c r="B113" s="32" t="s">
        <v>2</v>
      </c>
      <c r="C113" s="41"/>
      <c r="D113" s="41"/>
      <c r="E113" s="41"/>
      <c r="F113" s="41">
        <v>206</v>
      </c>
      <c r="G113" s="42">
        <v>150</v>
      </c>
      <c r="H113" s="42">
        <v>160</v>
      </c>
      <c r="I113" s="42">
        <v>111</v>
      </c>
      <c r="J113" s="42">
        <v>114</v>
      </c>
    </row>
    <row r="114" spans="1:11">
      <c r="B114" s="34" t="s">
        <v>183</v>
      </c>
      <c r="C114" s="43"/>
      <c r="D114" s="43"/>
      <c r="E114" s="43"/>
      <c r="F114" s="43">
        <f>506+8+3+11</f>
        <v>528</v>
      </c>
      <c r="G114" s="44">
        <f>374+12+2</f>
        <v>388</v>
      </c>
      <c r="H114" s="44">
        <f>299+3+2</f>
        <v>304</v>
      </c>
      <c r="I114" s="44">
        <f>450+7+1+3+5</f>
        <v>466</v>
      </c>
      <c r="J114" s="44">
        <f>262+1+4</f>
        <v>267</v>
      </c>
    </row>
    <row r="115" spans="1:11">
      <c r="B115" s="32" t="s">
        <v>184</v>
      </c>
      <c r="C115" s="41"/>
      <c r="D115" s="41"/>
      <c r="E115" s="41"/>
      <c r="F115" s="41">
        <v>380</v>
      </c>
      <c r="G115" s="42">
        <v>262</v>
      </c>
      <c r="H115" s="42">
        <v>280</v>
      </c>
      <c r="I115" s="42">
        <v>329</v>
      </c>
      <c r="J115" s="42">
        <v>475</v>
      </c>
    </row>
    <row r="116" spans="1:11">
      <c r="B116" s="34" t="s">
        <v>185</v>
      </c>
      <c r="C116" s="43"/>
      <c r="D116" s="43"/>
      <c r="E116" s="43"/>
      <c r="F116" s="43">
        <v>398</v>
      </c>
      <c r="G116" s="44">
        <v>416</v>
      </c>
      <c r="H116" s="44">
        <v>315</v>
      </c>
      <c r="I116" s="44">
        <v>349</v>
      </c>
      <c r="J116" s="44">
        <v>474</v>
      </c>
    </row>
    <row r="117" spans="1:11">
      <c r="B117" s="32" t="s">
        <v>0</v>
      </c>
      <c r="C117" s="41"/>
      <c r="D117" s="41"/>
      <c r="E117" s="41"/>
      <c r="F117" s="41">
        <v>166</v>
      </c>
      <c r="G117" s="42">
        <v>126</v>
      </c>
      <c r="H117" s="42">
        <v>88</v>
      </c>
      <c r="I117" s="42">
        <v>79</v>
      </c>
      <c r="J117" s="42">
        <v>89</v>
      </c>
    </row>
    <row r="118" spans="1:11">
      <c r="B118" s="34" t="s">
        <v>1</v>
      </c>
      <c r="C118" s="43">
        <v>147</v>
      </c>
      <c r="D118" s="43">
        <v>297</v>
      </c>
      <c r="E118" s="43">
        <v>619</v>
      </c>
      <c r="F118" s="44">
        <v>591</v>
      </c>
      <c r="G118" s="44">
        <v>469</v>
      </c>
      <c r="H118" s="44">
        <v>383</v>
      </c>
      <c r="I118" s="44">
        <v>934</v>
      </c>
      <c r="J118" s="44">
        <v>1494</v>
      </c>
    </row>
    <row r="119" spans="1:11">
      <c r="B119" s="32"/>
      <c r="C119" s="41"/>
      <c r="D119" s="41"/>
      <c r="E119" s="41"/>
      <c r="F119" s="41"/>
      <c r="G119" s="42"/>
      <c r="H119" s="42"/>
      <c r="I119" s="42"/>
      <c r="J119" s="42"/>
    </row>
    <row r="120" spans="1:11" ht="21.75" customHeight="1">
      <c r="A120" s="10" t="s">
        <v>77</v>
      </c>
      <c r="B120" s="23"/>
      <c r="C120" s="17">
        <v>2001</v>
      </c>
      <c r="D120" s="17">
        <v>2002</v>
      </c>
      <c r="E120" s="17">
        <v>2003</v>
      </c>
      <c r="F120" s="18">
        <v>2004</v>
      </c>
      <c r="G120" s="18">
        <f>F120+1</f>
        <v>2005</v>
      </c>
      <c r="H120" s="18">
        <f t="shared" ref="H120" si="18">G120+1</f>
        <v>2006</v>
      </c>
      <c r="I120" s="18">
        <f t="shared" ref="I120" si="19">H120+1</f>
        <v>2007</v>
      </c>
      <c r="J120" s="18">
        <f t="shared" ref="J120" si="20">I120+1</f>
        <v>2008</v>
      </c>
    </row>
    <row r="121" spans="1:11">
      <c r="B121" s="34" t="s">
        <v>182</v>
      </c>
      <c r="C121" s="43">
        <v>311</v>
      </c>
      <c r="D121" s="43">
        <v>299</v>
      </c>
      <c r="E121" s="43">
        <v>290</v>
      </c>
      <c r="F121" s="43">
        <v>379</v>
      </c>
      <c r="G121" s="44">
        <v>342</v>
      </c>
      <c r="H121" s="44">
        <v>319</v>
      </c>
      <c r="I121" s="44">
        <v>335</v>
      </c>
      <c r="J121" s="44">
        <v>302</v>
      </c>
      <c r="K121" s="13" t="s">
        <v>186</v>
      </c>
    </row>
    <row r="122" spans="1:11">
      <c r="B122" s="32" t="s">
        <v>88</v>
      </c>
      <c r="C122" s="41">
        <v>119</v>
      </c>
      <c r="D122" s="41">
        <v>107</v>
      </c>
      <c r="E122" s="41">
        <v>109</v>
      </c>
      <c r="F122" s="41">
        <v>153</v>
      </c>
      <c r="G122" s="42">
        <v>130</v>
      </c>
      <c r="H122" s="42">
        <v>148</v>
      </c>
      <c r="I122" s="42">
        <v>136</v>
      </c>
      <c r="J122" s="42">
        <v>118</v>
      </c>
      <c r="K122" s="13" t="s">
        <v>186</v>
      </c>
    </row>
    <row r="123" spans="1:11">
      <c r="B123" s="32" t="s">
        <v>2</v>
      </c>
      <c r="C123" s="41">
        <v>156</v>
      </c>
      <c r="D123" s="41">
        <v>150</v>
      </c>
      <c r="E123" s="41">
        <v>102</v>
      </c>
      <c r="F123" s="41">
        <v>179</v>
      </c>
      <c r="G123" s="42">
        <v>134</v>
      </c>
      <c r="H123" s="42">
        <v>154</v>
      </c>
      <c r="I123" s="42">
        <v>140</v>
      </c>
      <c r="J123" s="42">
        <v>114</v>
      </c>
      <c r="K123" s="13" t="s">
        <v>187</v>
      </c>
    </row>
    <row r="124" spans="1:11">
      <c r="B124" s="34" t="s">
        <v>183</v>
      </c>
      <c r="C124" s="43">
        <v>167</v>
      </c>
      <c r="D124" s="43">
        <v>225</v>
      </c>
      <c r="E124" s="43">
        <v>242</v>
      </c>
      <c r="F124" s="43">
        <v>296</v>
      </c>
      <c r="G124" s="44">
        <v>321</v>
      </c>
      <c r="H124" s="44">
        <v>301</v>
      </c>
      <c r="I124" s="44">
        <v>263</v>
      </c>
      <c r="J124" s="44">
        <v>256</v>
      </c>
    </row>
    <row r="125" spans="1:11">
      <c r="B125" s="32" t="s">
        <v>184</v>
      </c>
      <c r="C125" s="41">
        <v>323</v>
      </c>
      <c r="D125" s="41">
        <v>391</v>
      </c>
      <c r="E125" s="41">
        <v>449</v>
      </c>
      <c r="F125" s="41">
        <v>405</v>
      </c>
      <c r="G125" s="42">
        <v>379</v>
      </c>
      <c r="H125" s="42">
        <v>327</v>
      </c>
      <c r="I125" s="42">
        <v>378</v>
      </c>
      <c r="J125" s="42">
        <v>375</v>
      </c>
    </row>
    <row r="126" spans="1:11">
      <c r="B126" s="34" t="s">
        <v>185</v>
      </c>
      <c r="C126" s="43">
        <v>301</v>
      </c>
      <c r="D126" s="43">
        <v>273</v>
      </c>
      <c r="E126" s="43">
        <v>241</v>
      </c>
      <c r="F126" s="43">
        <v>233</v>
      </c>
      <c r="G126" s="44">
        <v>264</v>
      </c>
      <c r="H126" s="44">
        <v>202</v>
      </c>
      <c r="I126" s="44">
        <v>202</v>
      </c>
      <c r="J126" s="44">
        <v>176</v>
      </c>
    </row>
    <row r="127" spans="1:11">
      <c r="B127" s="32" t="s">
        <v>0</v>
      </c>
      <c r="C127" s="41">
        <v>101</v>
      </c>
      <c r="D127" s="41">
        <v>87</v>
      </c>
      <c r="E127" s="41">
        <v>62</v>
      </c>
      <c r="F127" s="41">
        <v>85</v>
      </c>
      <c r="G127" s="42">
        <v>70</v>
      </c>
      <c r="H127" s="42">
        <v>60</v>
      </c>
      <c r="I127" s="42">
        <v>89</v>
      </c>
      <c r="J127" s="42">
        <v>77</v>
      </c>
    </row>
    <row r="128" spans="1:11">
      <c r="B128" s="34" t="s">
        <v>1</v>
      </c>
      <c r="C128" s="43">
        <v>36</v>
      </c>
      <c r="D128" s="43">
        <v>54</v>
      </c>
      <c r="E128" s="43">
        <v>104</v>
      </c>
      <c r="F128" s="43">
        <v>80</v>
      </c>
      <c r="G128" s="44">
        <v>78</v>
      </c>
      <c r="H128" s="44">
        <v>85</v>
      </c>
      <c r="I128" s="44">
        <v>114</v>
      </c>
      <c r="J128" s="44">
        <v>140</v>
      </c>
      <c r="K128" s="13" t="s">
        <v>186</v>
      </c>
    </row>
    <row r="129" spans="1:11">
      <c r="B129" s="32"/>
      <c r="C129" s="41"/>
      <c r="D129" s="41"/>
      <c r="E129" s="41"/>
      <c r="F129" s="41"/>
      <c r="G129" s="42"/>
      <c r="H129" s="42"/>
      <c r="I129" s="42"/>
      <c r="J129" s="42"/>
    </row>
    <row r="130" spans="1:11" ht="21.75" customHeight="1">
      <c r="A130" s="10" t="s">
        <v>101</v>
      </c>
      <c r="B130" s="23"/>
      <c r="C130" s="17">
        <v>2001</v>
      </c>
      <c r="D130" s="17">
        <v>2002</v>
      </c>
      <c r="E130" s="17">
        <v>2003</v>
      </c>
      <c r="F130" s="18">
        <v>2004</v>
      </c>
      <c r="G130" s="18">
        <f>F130+1</f>
        <v>2005</v>
      </c>
      <c r="H130" s="18">
        <f t="shared" ref="H130" si="21">G130+1</f>
        <v>2006</v>
      </c>
      <c r="I130" s="18">
        <f t="shared" ref="I130" si="22">H130+1</f>
        <v>2007</v>
      </c>
      <c r="J130" s="18">
        <f t="shared" ref="J130" si="23">I130+1</f>
        <v>2008</v>
      </c>
    </row>
    <row r="131" spans="1:11">
      <c r="B131" s="13" t="s">
        <v>127</v>
      </c>
      <c r="C131" s="8">
        <v>3.44</v>
      </c>
      <c r="D131" s="156">
        <v>3.48</v>
      </c>
      <c r="E131" s="8">
        <v>3.49</v>
      </c>
      <c r="F131" s="8">
        <v>3.48</v>
      </c>
      <c r="G131" s="8">
        <v>3.46</v>
      </c>
      <c r="H131" s="8">
        <v>3.45</v>
      </c>
      <c r="I131" s="9">
        <v>3.3478143712574906</v>
      </c>
      <c r="J131" s="9">
        <v>3.3502622377622364</v>
      </c>
    </row>
    <row r="132" spans="1:11">
      <c r="B132" s="48" t="s">
        <v>194</v>
      </c>
      <c r="C132" s="49">
        <v>1006</v>
      </c>
      <c r="D132" s="49">
        <v>1011</v>
      </c>
      <c r="E132" s="49">
        <v>1003</v>
      </c>
      <c r="F132" s="50">
        <v>1010</v>
      </c>
      <c r="G132" s="50">
        <v>1027</v>
      </c>
      <c r="H132" s="50">
        <v>1009</v>
      </c>
      <c r="I132" s="51">
        <v>976.76</v>
      </c>
      <c r="J132" s="51">
        <v>991.69172932330832</v>
      </c>
    </row>
    <row r="134" spans="1:11" ht="21.75" customHeight="1">
      <c r="A134" s="10" t="s">
        <v>181</v>
      </c>
      <c r="B134" s="23"/>
      <c r="C134" s="17">
        <v>2001</v>
      </c>
      <c r="D134" s="17">
        <v>2002</v>
      </c>
      <c r="E134" s="17">
        <v>2003</v>
      </c>
      <c r="F134" s="18">
        <v>2004</v>
      </c>
      <c r="G134" s="18">
        <f>F134+1</f>
        <v>2005</v>
      </c>
      <c r="H134" s="18">
        <f t="shared" ref="H134" si="24">G134+1</f>
        <v>2006</v>
      </c>
      <c r="I134" s="18">
        <f t="shared" ref="I134" si="25">H134+1</f>
        <v>2007</v>
      </c>
      <c r="J134" s="18">
        <f t="shared" ref="J134" si="26">I134+1</f>
        <v>2008</v>
      </c>
    </row>
    <row r="135" spans="1:11">
      <c r="B135" s="32" t="s">
        <v>12</v>
      </c>
      <c r="C135" s="41">
        <v>1165</v>
      </c>
      <c r="D135" s="41">
        <v>1261</v>
      </c>
      <c r="E135" s="41">
        <v>1399</v>
      </c>
      <c r="F135" s="41">
        <v>1654</v>
      </c>
      <c r="G135" s="42">
        <v>1638</v>
      </c>
      <c r="H135" s="42">
        <v>1609</v>
      </c>
      <c r="I135" s="42">
        <v>1540</v>
      </c>
      <c r="J135" s="42">
        <v>1659</v>
      </c>
    </row>
    <row r="136" spans="1:11">
      <c r="B136" s="34" t="s">
        <v>13</v>
      </c>
      <c r="C136" s="43">
        <v>838</v>
      </c>
      <c r="D136" s="43">
        <v>768</v>
      </c>
      <c r="E136" s="43">
        <v>791</v>
      </c>
      <c r="F136" s="43">
        <v>979</v>
      </c>
      <c r="G136" s="44">
        <v>1008</v>
      </c>
      <c r="H136" s="44">
        <v>960</v>
      </c>
      <c r="I136" s="44">
        <v>994</v>
      </c>
      <c r="J136" s="44">
        <v>982</v>
      </c>
    </row>
    <row r="137" spans="1:11" ht="13.5" thickBot="1">
      <c r="B137" s="36" t="s">
        <v>15</v>
      </c>
      <c r="C137" s="45">
        <v>311</v>
      </c>
      <c r="D137" s="45">
        <v>299</v>
      </c>
      <c r="E137" s="45">
        <v>290</v>
      </c>
      <c r="F137" s="45">
        <v>379</v>
      </c>
      <c r="G137" s="45">
        <v>342</v>
      </c>
      <c r="H137" s="45">
        <v>319</v>
      </c>
      <c r="I137" s="45">
        <v>335</v>
      </c>
      <c r="J137" s="45">
        <v>302</v>
      </c>
    </row>
    <row r="138" spans="1:11" ht="13.5" thickTop="1">
      <c r="B138" s="46" t="s">
        <v>14</v>
      </c>
      <c r="C138" s="25">
        <f>C136/C135</f>
        <v>0.71931330472103006</v>
      </c>
      <c r="D138" s="25">
        <f t="shared" ref="D138:J138" si="27">D136/D135</f>
        <v>0.60904044409199043</v>
      </c>
      <c r="E138" s="25">
        <f t="shared" si="27"/>
        <v>0.56540385989992847</v>
      </c>
      <c r="F138" s="25">
        <f t="shared" si="27"/>
        <v>0.59189842805320436</v>
      </c>
      <c r="G138" s="25">
        <f t="shared" si="27"/>
        <v>0.61538461538461542</v>
      </c>
      <c r="H138" s="25">
        <f t="shared" si="27"/>
        <v>0.59664387818520825</v>
      </c>
      <c r="I138" s="25">
        <f t="shared" si="27"/>
        <v>0.6454545454545455</v>
      </c>
      <c r="J138" s="25">
        <f t="shared" si="27"/>
        <v>0.59192284508740201</v>
      </c>
    </row>
    <row r="139" spans="1:11">
      <c r="B139" s="47" t="s">
        <v>16</v>
      </c>
      <c r="C139" s="27">
        <f>C137/C136</f>
        <v>0.37112171837708829</v>
      </c>
      <c r="D139" s="27">
        <f t="shared" ref="D139:J139" si="28">D137/D136</f>
        <v>0.38932291666666669</v>
      </c>
      <c r="E139" s="27">
        <f t="shared" si="28"/>
        <v>0.36662452591656131</v>
      </c>
      <c r="F139" s="27">
        <f t="shared" si="28"/>
        <v>0.38712972420837588</v>
      </c>
      <c r="G139" s="27">
        <f t="shared" si="28"/>
        <v>0.3392857142857143</v>
      </c>
      <c r="H139" s="27">
        <f t="shared" si="28"/>
        <v>0.33229166666666665</v>
      </c>
      <c r="I139" s="27">
        <f t="shared" si="28"/>
        <v>0.33702213279678067</v>
      </c>
      <c r="J139" s="27">
        <f t="shared" si="28"/>
        <v>0.3075356415478615</v>
      </c>
    </row>
    <row r="140" spans="1:11" ht="21.75" customHeight="1">
      <c r="A140" s="14" t="s">
        <v>107</v>
      </c>
      <c r="B140" s="14"/>
      <c r="C140" s="15"/>
      <c r="D140" s="15"/>
      <c r="E140" s="15"/>
      <c r="F140" s="16"/>
      <c r="G140" s="16"/>
      <c r="H140" s="16"/>
      <c r="I140" s="16"/>
      <c r="J140" s="16"/>
    </row>
    <row r="141" spans="1:11" ht="24.75" customHeight="1">
      <c r="A141" s="10" t="s">
        <v>129</v>
      </c>
      <c r="B141" s="23"/>
      <c r="C141" s="17">
        <v>2001</v>
      </c>
      <c r="D141" s="17">
        <v>2002</v>
      </c>
      <c r="E141" s="17">
        <v>2003</v>
      </c>
      <c r="F141" s="18">
        <v>2004</v>
      </c>
      <c r="G141" s="18">
        <f>F141+1</f>
        <v>2005</v>
      </c>
      <c r="H141" s="18">
        <f t="shared" ref="H141" si="29">G141+1</f>
        <v>2006</v>
      </c>
      <c r="I141" s="18">
        <f t="shared" ref="I141" si="30">H141+1</f>
        <v>2007</v>
      </c>
      <c r="J141" s="18">
        <f t="shared" ref="J141" si="31">I141+1</f>
        <v>2008</v>
      </c>
    </row>
    <row r="142" spans="1:11">
      <c r="B142" s="24" t="s">
        <v>130</v>
      </c>
      <c r="C142" s="25">
        <v>0.82807017543859651</v>
      </c>
      <c r="D142" s="25">
        <v>0.84262295081967209</v>
      </c>
      <c r="E142" s="25">
        <v>0.87755102040816324</v>
      </c>
      <c r="F142" s="25">
        <v>0.87543252595155707</v>
      </c>
      <c r="G142" s="25">
        <v>0.88800000000000001</v>
      </c>
      <c r="H142" s="25">
        <v>0.80421686746987953</v>
      </c>
      <c r="I142" s="25">
        <v>0.84713375796178347</v>
      </c>
      <c r="J142" s="25">
        <v>0.78742514970059885</v>
      </c>
    </row>
    <row r="143" spans="1:11">
      <c r="B143" s="26" t="s">
        <v>88</v>
      </c>
      <c r="C143" s="27">
        <v>0.73643410852713176</v>
      </c>
      <c r="D143" s="27">
        <v>0.81481481481481477</v>
      </c>
      <c r="E143" s="27">
        <v>0.75454545454545452</v>
      </c>
      <c r="F143" s="27">
        <v>0.84761904761904761</v>
      </c>
      <c r="G143" s="27">
        <v>0.8125</v>
      </c>
      <c r="H143" s="27">
        <v>0.86614173228346458</v>
      </c>
      <c r="I143" s="27">
        <v>0.76470588235294112</v>
      </c>
      <c r="J143" s="27">
        <v>0.76984126984126988</v>
      </c>
      <c r="K143" s="13" t="s">
        <v>134</v>
      </c>
    </row>
    <row r="144" spans="1:11">
      <c r="B144" s="24" t="s">
        <v>2</v>
      </c>
      <c r="C144" s="25">
        <v>0.74611398963730569</v>
      </c>
      <c r="D144" s="25">
        <v>0.84615384615384615</v>
      </c>
      <c r="E144" s="25">
        <v>0.71241830065359479</v>
      </c>
      <c r="F144" s="25">
        <v>0.73</v>
      </c>
      <c r="G144" s="25">
        <v>0.84745762711864403</v>
      </c>
      <c r="H144" s="25">
        <v>0.80597014925373134</v>
      </c>
      <c r="I144" s="25">
        <v>0.80392156862745101</v>
      </c>
      <c r="J144" s="25">
        <v>0.8</v>
      </c>
    </row>
    <row r="145" spans="1:11">
      <c r="B145" s="26" t="s">
        <v>132</v>
      </c>
      <c r="C145" s="27">
        <v>0.69135802469135799</v>
      </c>
      <c r="D145" s="27">
        <v>0.74850299401197606</v>
      </c>
      <c r="E145" s="27">
        <v>0.70403587443946192</v>
      </c>
      <c r="F145" s="27">
        <v>0.70036101083032487</v>
      </c>
      <c r="G145" s="27">
        <v>0.76949152542372878</v>
      </c>
      <c r="H145" s="27">
        <v>0.74675324675324672</v>
      </c>
      <c r="I145" s="27">
        <v>0.74747474747474751</v>
      </c>
      <c r="J145" s="27">
        <v>0.70992366412213737</v>
      </c>
      <c r="K145" s="13" t="s">
        <v>133</v>
      </c>
    </row>
    <row r="146" spans="1:11" ht="21.75" customHeight="1">
      <c r="A146" s="10" t="s">
        <v>89</v>
      </c>
      <c r="B146" s="23"/>
      <c r="C146" s="17">
        <v>2001</v>
      </c>
      <c r="D146" s="17">
        <v>2002</v>
      </c>
      <c r="E146" s="17">
        <v>2003</v>
      </c>
      <c r="F146" s="18">
        <v>2004</v>
      </c>
      <c r="G146" s="18">
        <f>F146+1</f>
        <v>2005</v>
      </c>
      <c r="H146" s="18">
        <f t="shared" ref="H146" si="32">G146+1</f>
        <v>2006</v>
      </c>
      <c r="I146" s="18">
        <f t="shared" ref="I146" si="33">H146+1</f>
        <v>2007</v>
      </c>
      <c r="J146" s="18">
        <f t="shared" ref="J146" si="34">I146+1</f>
        <v>2008</v>
      </c>
    </row>
    <row r="147" spans="1:11">
      <c r="B147" s="24" t="s">
        <v>139</v>
      </c>
      <c r="C147" s="25">
        <v>0.30693069306930693</v>
      </c>
      <c r="D147" s="25">
        <v>0.33021806853582553</v>
      </c>
      <c r="E147" s="25">
        <v>0.38437500000000002</v>
      </c>
      <c r="F147" s="25">
        <v>0.32631578947368423</v>
      </c>
      <c r="G147" s="25">
        <v>0.41311475409836068</v>
      </c>
      <c r="H147" s="25">
        <v>0.42176870748299322</v>
      </c>
      <c r="I147" s="25">
        <v>0.43252595155709345</v>
      </c>
      <c r="J147" s="25">
        <v>0.49066666666666664</v>
      </c>
      <c r="K147" s="13" t="s">
        <v>135</v>
      </c>
    </row>
    <row r="148" spans="1:11">
      <c r="B148" s="26" t="s">
        <v>140</v>
      </c>
      <c r="C148" s="27">
        <v>0.46195652173913043</v>
      </c>
      <c r="D148" s="27">
        <v>0.46938775510204084</v>
      </c>
      <c r="E148" s="27">
        <v>0.50495049504950495</v>
      </c>
      <c r="F148" s="27">
        <v>0.48909657320872274</v>
      </c>
      <c r="G148" s="27">
        <v>0.52500000000000002</v>
      </c>
      <c r="H148" s="27">
        <v>0.50877192982456143</v>
      </c>
      <c r="I148" s="27">
        <v>0.58032786885245902</v>
      </c>
      <c r="J148" s="27">
        <v>0.61224489795918369</v>
      </c>
      <c r="K148" s="13" t="s">
        <v>136</v>
      </c>
    </row>
    <row r="149" spans="1:11">
      <c r="B149" s="24" t="s">
        <v>141</v>
      </c>
      <c r="C149" s="25">
        <v>0.5</v>
      </c>
      <c r="D149" s="25">
        <v>0.5220588235294118</v>
      </c>
      <c r="E149" s="25">
        <v>0.50427350427350426</v>
      </c>
      <c r="F149" s="25">
        <v>0.51162790697674421</v>
      </c>
      <c r="G149" s="25">
        <v>0.58333333333333337</v>
      </c>
      <c r="H149" s="25">
        <v>0.53636363636363638</v>
      </c>
      <c r="I149" s="25">
        <v>0.6</v>
      </c>
      <c r="J149" s="25">
        <v>0.64375000000000004</v>
      </c>
      <c r="K149" s="13" t="s">
        <v>135</v>
      </c>
    </row>
    <row r="150" spans="1:11">
      <c r="B150" s="26" t="s">
        <v>142</v>
      </c>
      <c r="C150" s="27">
        <v>0.49193548387096775</v>
      </c>
      <c r="D150" s="27">
        <v>0.4485294117647059</v>
      </c>
      <c r="E150" s="27">
        <v>0.55263157894736847</v>
      </c>
      <c r="F150" s="27">
        <v>0.55147058823529416</v>
      </c>
      <c r="G150" s="27">
        <v>0.5641025641025641</v>
      </c>
      <c r="H150" s="27">
        <v>0.5968992248062015</v>
      </c>
      <c r="I150" s="27">
        <v>0.62962962962962965</v>
      </c>
      <c r="J150" s="27">
        <v>0.67272727272727273</v>
      </c>
      <c r="K150" s="13" t="s">
        <v>136</v>
      </c>
    </row>
    <row r="151" spans="1:11" ht="21.75" customHeight="1">
      <c r="A151" s="10" t="s">
        <v>86</v>
      </c>
      <c r="B151" s="10"/>
      <c r="C151" s="17">
        <v>2001</v>
      </c>
      <c r="D151" s="17">
        <v>2002</v>
      </c>
      <c r="E151" s="17">
        <v>2003</v>
      </c>
      <c r="F151" s="18">
        <v>2004</v>
      </c>
      <c r="G151" s="18">
        <f>F151+1</f>
        <v>2005</v>
      </c>
      <c r="H151" s="18">
        <f t="shared" ref="H151:J151" si="35">G151+1</f>
        <v>2006</v>
      </c>
      <c r="I151" s="18">
        <f t="shared" si="35"/>
        <v>2007</v>
      </c>
      <c r="J151" s="18">
        <f t="shared" si="35"/>
        <v>2008</v>
      </c>
    </row>
    <row r="152" spans="1:11">
      <c r="A152" s="19"/>
      <c r="B152" s="20" t="s">
        <v>61</v>
      </c>
      <c r="C152" s="160">
        <v>3.31</v>
      </c>
      <c r="D152" s="160">
        <v>3.22</v>
      </c>
      <c r="E152" s="160">
        <v>3.24</v>
      </c>
      <c r="F152" s="161">
        <v>3.29</v>
      </c>
      <c r="G152" s="161">
        <v>3.18</v>
      </c>
      <c r="H152" s="161">
        <v>3.1</v>
      </c>
      <c r="I152" s="161">
        <v>3.12</v>
      </c>
      <c r="J152" s="161">
        <v>3.19</v>
      </c>
    </row>
    <row r="153" spans="1:11">
      <c r="A153" s="19"/>
      <c r="B153" s="21" t="s">
        <v>62</v>
      </c>
      <c r="C153" s="162">
        <v>3.09</v>
      </c>
      <c r="D153" s="162">
        <v>3.16</v>
      </c>
      <c r="E153" s="162">
        <v>3.12</v>
      </c>
      <c r="F153" s="163">
        <v>3.08</v>
      </c>
      <c r="G153" s="163">
        <v>3.14</v>
      </c>
      <c r="H153" s="163">
        <v>3.09</v>
      </c>
      <c r="I153" s="163">
        <v>3.07</v>
      </c>
      <c r="J153" s="163">
        <v>3.04</v>
      </c>
    </row>
    <row r="154" spans="1:11">
      <c r="A154" s="19"/>
      <c r="B154" s="20" t="s">
        <v>63</v>
      </c>
      <c r="C154" s="160">
        <v>3.13</v>
      </c>
      <c r="D154" s="160">
        <v>3.11</v>
      </c>
      <c r="E154" s="160">
        <v>3.13</v>
      </c>
      <c r="F154" s="161">
        <v>3.1</v>
      </c>
      <c r="G154" s="161">
        <v>3.12</v>
      </c>
      <c r="H154" s="161">
        <v>3.12</v>
      </c>
      <c r="I154" s="161">
        <v>3.1</v>
      </c>
      <c r="J154" s="161">
        <v>3.11</v>
      </c>
    </row>
    <row r="155" spans="1:11">
      <c r="A155" s="19"/>
      <c r="B155" s="21" t="s">
        <v>64</v>
      </c>
      <c r="C155" s="162">
        <v>3.13</v>
      </c>
      <c r="D155" s="162">
        <v>3.13</v>
      </c>
      <c r="E155" s="162">
        <v>3.12</v>
      </c>
      <c r="F155" s="163">
        <v>3.15</v>
      </c>
      <c r="G155" s="163">
        <v>3.15</v>
      </c>
      <c r="H155" s="163">
        <v>3.14</v>
      </c>
      <c r="I155" s="163">
        <v>3.15</v>
      </c>
      <c r="J155" s="163">
        <v>3.12</v>
      </c>
    </row>
    <row r="156" spans="1:11">
      <c r="A156" s="19"/>
      <c r="B156" s="20" t="s">
        <v>87</v>
      </c>
      <c r="C156" s="160">
        <v>3.78</v>
      </c>
      <c r="D156" s="160">
        <v>3.78</v>
      </c>
      <c r="E156" s="160">
        <v>3.79</v>
      </c>
      <c r="F156" s="161">
        <v>3.75</v>
      </c>
      <c r="G156" s="161">
        <v>3.76</v>
      </c>
      <c r="H156" s="161">
        <v>3.75</v>
      </c>
      <c r="I156" s="161">
        <v>3.75</v>
      </c>
      <c r="J156" s="161">
        <v>3.74</v>
      </c>
    </row>
    <row r="157" spans="1:11">
      <c r="A157" s="19"/>
      <c r="B157" s="21" t="s">
        <v>0</v>
      </c>
      <c r="C157" s="162">
        <v>3.58</v>
      </c>
      <c r="D157" s="162">
        <v>3.63</v>
      </c>
      <c r="E157" s="162">
        <v>3.61</v>
      </c>
      <c r="F157" s="163">
        <v>3.66</v>
      </c>
      <c r="G157" s="163">
        <v>3.68</v>
      </c>
      <c r="H157" s="163">
        <v>3.64</v>
      </c>
      <c r="I157" s="163">
        <v>3.63</v>
      </c>
      <c r="J157" s="163">
        <v>3.6</v>
      </c>
    </row>
    <row r="158" spans="1:11" ht="13.5" thickBot="1">
      <c r="A158" s="19"/>
      <c r="B158" s="22" t="s">
        <v>126</v>
      </c>
      <c r="C158" s="164">
        <v>2.38</v>
      </c>
      <c r="D158" s="164">
        <v>2.34</v>
      </c>
      <c r="E158" s="164">
        <v>2.2999999999999998</v>
      </c>
      <c r="F158" s="165">
        <v>2.33</v>
      </c>
      <c r="G158" s="165">
        <v>2.42</v>
      </c>
      <c r="H158" s="165">
        <v>2.4500000000000002</v>
      </c>
      <c r="I158" s="165">
        <v>2.4700000000000002</v>
      </c>
      <c r="J158" s="165">
        <v>2.4900000000000002</v>
      </c>
    </row>
    <row r="159" spans="1:11" ht="13.5" thickTop="1">
      <c r="B159" s="4" t="s">
        <v>94</v>
      </c>
      <c r="C159" s="157">
        <v>3.36</v>
      </c>
      <c r="D159" s="157">
        <v>3.41</v>
      </c>
      <c r="E159" s="157">
        <v>3.38</v>
      </c>
      <c r="F159" s="158">
        <v>3.35</v>
      </c>
      <c r="G159" s="158">
        <v>3.36</v>
      </c>
      <c r="H159" s="158">
        <v>3.35</v>
      </c>
      <c r="I159" s="158">
        <v>3.34</v>
      </c>
      <c r="J159" s="158">
        <v>3.34</v>
      </c>
      <c r="K159" s="13" t="s">
        <v>131</v>
      </c>
    </row>
    <row r="160" spans="1:11" ht="21.75" customHeight="1">
      <c r="A160" s="10" t="s">
        <v>90</v>
      </c>
      <c r="B160" s="23"/>
      <c r="C160" s="17" t="s">
        <v>91</v>
      </c>
      <c r="D160" s="17" t="s">
        <v>92</v>
      </c>
      <c r="E160" s="17" t="s">
        <v>93</v>
      </c>
      <c r="F160" s="17" t="s">
        <v>65</v>
      </c>
      <c r="G160" s="17" t="s">
        <v>66</v>
      </c>
      <c r="H160" s="17" t="s">
        <v>67</v>
      </c>
      <c r="I160" s="17" t="s">
        <v>68</v>
      </c>
      <c r="J160" s="17" t="s">
        <v>69</v>
      </c>
    </row>
    <row r="161" spans="1:10">
      <c r="B161" s="28" t="s">
        <v>70</v>
      </c>
      <c r="C161" s="26">
        <v>9</v>
      </c>
      <c r="D161" s="26">
        <v>2</v>
      </c>
      <c r="E161" s="26">
        <v>3</v>
      </c>
      <c r="F161" s="28">
        <v>3</v>
      </c>
      <c r="G161" s="28">
        <v>2</v>
      </c>
      <c r="H161" s="28">
        <v>1</v>
      </c>
      <c r="I161" s="28">
        <v>1</v>
      </c>
      <c r="J161" s="28">
        <v>0</v>
      </c>
    </row>
    <row r="162" spans="1:10">
      <c r="B162" s="29" t="s">
        <v>71</v>
      </c>
      <c r="C162" s="24">
        <v>885</v>
      </c>
      <c r="D162" s="24">
        <v>927</v>
      </c>
      <c r="E162" s="24">
        <v>978</v>
      </c>
      <c r="F162" s="29">
        <v>990</v>
      </c>
      <c r="G162" s="29">
        <v>1263</v>
      </c>
      <c r="H162" s="29">
        <v>1192</v>
      </c>
      <c r="I162" s="29">
        <v>1163</v>
      </c>
      <c r="J162" s="29">
        <v>1119</v>
      </c>
    </row>
    <row r="163" spans="1:10">
      <c r="B163" s="28" t="s">
        <v>72</v>
      </c>
      <c r="C163" s="26">
        <v>1012</v>
      </c>
      <c r="D163" s="26">
        <v>972</v>
      </c>
      <c r="E163" s="26">
        <v>1074</v>
      </c>
      <c r="F163" s="28">
        <f>1114+5</f>
        <v>1119</v>
      </c>
      <c r="G163" s="28">
        <v>1061</v>
      </c>
      <c r="H163" s="28">
        <v>952</v>
      </c>
      <c r="I163" s="28">
        <v>884</v>
      </c>
      <c r="J163" s="28">
        <v>974</v>
      </c>
    </row>
    <row r="164" spans="1:10">
      <c r="B164" s="29" t="s">
        <v>0</v>
      </c>
      <c r="C164" s="24">
        <v>64</v>
      </c>
      <c r="D164" s="24">
        <v>49</v>
      </c>
      <c r="E164" s="24">
        <v>65</v>
      </c>
      <c r="F164" s="29">
        <f>63-5</f>
        <v>58</v>
      </c>
      <c r="G164" s="29">
        <v>81</v>
      </c>
      <c r="H164" s="29">
        <v>74</v>
      </c>
      <c r="I164" s="29">
        <v>88</v>
      </c>
      <c r="J164" s="29">
        <v>84</v>
      </c>
    </row>
    <row r="165" spans="1:10" ht="13.5" thickBot="1">
      <c r="B165" s="22" t="s">
        <v>126</v>
      </c>
      <c r="C165" s="30">
        <v>39</v>
      </c>
      <c r="D165" s="30">
        <v>55</v>
      </c>
      <c r="E165" s="30">
        <v>24</v>
      </c>
      <c r="F165" s="22">
        <v>21</v>
      </c>
      <c r="G165" s="22">
        <v>37</v>
      </c>
      <c r="H165" s="22">
        <v>63</v>
      </c>
      <c r="I165" s="22">
        <v>62</v>
      </c>
      <c r="J165" s="22">
        <v>78</v>
      </c>
    </row>
    <row r="166" spans="1:10" ht="13.5" thickTop="1">
      <c r="B166" s="6" t="s">
        <v>8</v>
      </c>
      <c r="C166" s="7">
        <f t="shared" ref="C166" si="36">SUM(C161:C165)</f>
        <v>2009</v>
      </c>
      <c r="D166" s="7">
        <f t="shared" ref="D166" si="37">SUM(D161:D165)</f>
        <v>2005</v>
      </c>
      <c r="E166" s="7">
        <f t="shared" ref="E166" si="38">SUM(E161:E165)</f>
        <v>2144</v>
      </c>
      <c r="F166" s="6">
        <f t="shared" ref="F166" si="39">SUM(F161:F165)</f>
        <v>2191</v>
      </c>
      <c r="G166" s="6">
        <f t="shared" ref="G166" si="40">SUM(G161:G165)</f>
        <v>2444</v>
      </c>
      <c r="H166" s="6">
        <f t="shared" ref="H166" si="41">SUM(H161:H165)</f>
        <v>2282</v>
      </c>
      <c r="I166" s="6">
        <f t="shared" ref="I166" si="42">SUM(I161:I165)</f>
        <v>2198</v>
      </c>
      <c r="J166" s="6">
        <v>2255</v>
      </c>
    </row>
    <row r="167" spans="1:10" ht="21.75" customHeight="1">
      <c r="A167" s="14" t="s">
        <v>201</v>
      </c>
      <c r="B167" s="14"/>
      <c r="C167" s="15"/>
      <c r="D167" s="15"/>
      <c r="E167" s="15"/>
      <c r="F167" s="16"/>
      <c r="G167" s="16"/>
      <c r="H167" s="16"/>
      <c r="I167" s="16"/>
      <c r="J167" s="16"/>
    </row>
    <row r="168" spans="1:10" ht="21.75" customHeight="1">
      <c r="A168" s="10" t="s">
        <v>197</v>
      </c>
      <c r="B168" s="23"/>
      <c r="C168" s="17">
        <v>2001</v>
      </c>
      <c r="D168" s="17">
        <v>2002</v>
      </c>
      <c r="E168" s="17">
        <v>2003</v>
      </c>
      <c r="F168" s="17">
        <v>2004</v>
      </c>
      <c r="G168" s="17">
        <v>2005</v>
      </c>
      <c r="H168" s="17">
        <v>2006</v>
      </c>
      <c r="I168" s="17">
        <v>2007</v>
      </c>
      <c r="J168" s="17">
        <v>2008</v>
      </c>
    </row>
    <row r="169" spans="1:10">
      <c r="B169" s="32" t="s">
        <v>3</v>
      </c>
      <c r="C169" s="27">
        <v>1.1615343057806591E-2</v>
      </c>
      <c r="D169" s="27">
        <v>1.1225688552408302E-2</v>
      </c>
      <c r="E169" s="27">
        <v>7.9822036116199944E-3</v>
      </c>
      <c r="F169" s="27">
        <v>1.1060417530761786E-2</v>
      </c>
      <c r="G169" s="27">
        <v>1.0208139997348535E-2</v>
      </c>
      <c r="H169" s="27">
        <v>9.403467528651191E-3</v>
      </c>
      <c r="I169" s="27">
        <v>1.0171550022772128E-2</v>
      </c>
      <c r="J169" s="27">
        <v>1.0570824524312896E-2</v>
      </c>
    </row>
    <row r="170" spans="1:10">
      <c r="B170" s="40" t="s">
        <v>203</v>
      </c>
      <c r="C170" s="25">
        <v>0.10669908157752567</v>
      </c>
      <c r="D170" s="25">
        <v>0.11069051037723535</v>
      </c>
      <c r="E170" s="25">
        <v>0.10651661868620779</v>
      </c>
      <c r="F170" s="25">
        <v>0.11530485275819162</v>
      </c>
      <c r="G170" s="25">
        <v>0.10460029166114278</v>
      </c>
      <c r="H170" s="25">
        <v>0.10872759330002939</v>
      </c>
      <c r="I170" s="25">
        <v>9.9893730074388953E-2</v>
      </c>
      <c r="J170" s="25">
        <v>9.9667774086378738E-2</v>
      </c>
    </row>
    <row r="171" spans="1:10">
      <c r="B171" s="32" t="s">
        <v>204</v>
      </c>
      <c r="C171" s="27">
        <v>5.0783360345759046E-2</v>
      </c>
      <c r="D171" s="27">
        <v>5.2343036157159642E-2</v>
      </c>
      <c r="E171" s="27">
        <v>5.2734886155456684E-2</v>
      </c>
      <c r="F171" s="27">
        <v>5.5578598092077977E-2</v>
      </c>
      <c r="G171" s="27">
        <v>5.4222457907994168E-2</v>
      </c>
      <c r="H171" s="27">
        <v>6.4061122538936227E-2</v>
      </c>
      <c r="I171" s="27">
        <v>8.4560497950508573E-2</v>
      </c>
      <c r="J171" s="27">
        <v>9.8912715191784961E-2</v>
      </c>
    </row>
    <row r="172" spans="1:10">
      <c r="B172" s="40" t="s">
        <v>110</v>
      </c>
      <c r="C172" s="25">
        <v>0.23960021609940574</v>
      </c>
      <c r="D172" s="25">
        <v>0.25310011747813599</v>
      </c>
      <c r="E172" s="25">
        <v>0.26197330541742997</v>
      </c>
      <c r="F172" s="25">
        <v>0.32047559795382274</v>
      </c>
      <c r="G172" s="25">
        <v>0.31804321887843034</v>
      </c>
      <c r="H172" s="25">
        <v>0.33646782250955037</v>
      </c>
      <c r="I172" s="25">
        <v>0.35114619705480493</v>
      </c>
      <c r="J172" s="25">
        <v>0.35699184536393841</v>
      </c>
    </row>
    <row r="173" spans="1:10">
      <c r="B173" s="32" t="s">
        <v>5</v>
      </c>
      <c r="C173" s="27">
        <v>0.4682603997839006</v>
      </c>
      <c r="D173" s="27">
        <v>0.43675760344602532</v>
      </c>
      <c r="E173" s="27">
        <v>0.41468202041350433</v>
      </c>
      <c r="F173" s="27">
        <v>0.43398313286326556</v>
      </c>
      <c r="G173" s="27">
        <v>0.39440540898846616</v>
      </c>
      <c r="H173" s="27">
        <v>0.39979429914781073</v>
      </c>
      <c r="I173" s="27">
        <v>0.38135721876423256</v>
      </c>
      <c r="J173" s="27">
        <v>0.36665659921473875</v>
      </c>
    </row>
    <row r="174" spans="1:10">
      <c r="B174" s="40" t="s">
        <v>6</v>
      </c>
      <c r="C174" s="25">
        <v>9.7379794705564557E-2</v>
      </c>
      <c r="D174" s="25">
        <v>0.11160422921289649</v>
      </c>
      <c r="E174" s="25">
        <v>0.13137922009945041</v>
      </c>
      <c r="F174" s="25">
        <v>4.0232268768146E-2</v>
      </c>
      <c r="G174" s="25">
        <v>9.1475540235980382E-2</v>
      </c>
      <c r="H174" s="25">
        <v>4.9662062885689098E-2</v>
      </c>
      <c r="I174" s="25">
        <v>5.2527706087748594E-2</v>
      </c>
      <c r="J174" s="25">
        <v>5.7837511325883419E-2</v>
      </c>
    </row>
    <row r="175" spans="1:10" ht="13.5" thickBot="1">
      <c r="B175" s="36" t="s">
        <v>7</v>
      </c>
      <c r="C175" s="37">
        <v>2.5661804430037818E-2</v>
      </c>
      <c r="D175" s="37">
        <v>2.4278814776138885E-2</v>
      </c>
      <c r="E175" s="37">
        <v>2.4731745616330802E-2</v>
      </c>
      <c r="F175" s="37">
        <v>2.3365132033734273E-2</v>
      </c>
      <c r="G175" s="37">
        <v>2.7044942330637676E-2</v>
      </c>
      <c r="H175" s="37">
        <v>3.1883632089332939E-2</v>
      </c>
      <c r="I175" s="37">
        <v>2.0343100045544255E-2</v>
      </c>
      <c r="J175" s="37">
        <v>9.3627302929628516E-3</v>
      </c>
    </row>
    <row r="176" spans="1:10" ht="13.5" thickTop="1">
      <c r="B176" s="38" t="s">
        <v>8</v>
      </c>
      <c r="C176" s="27">
        <f>SUM(C169:C175)</f>
        <v>1</v>
      </c>
      <c r="D176" s="27">
        <f t="shared" ref="D176:J176" si="43">SUM(D169:D175)</f>
        <v>1</v>
      </c>
      <c r="E176" s="27">
        <f t="shared" si="43"/>
        <v>1</v>
      </c>
      <c r="F176" s="27">
        <f t="shared" si="43"/>
        <v>1</v>
      </c>
      <c r="G176" s="27">
        <f t="shared" si="43"/>
        <v>1</v>
      </c>
      <c r="H176" s="27">
        <f t="shared" si="43"/>
        <v>1</v>
      </c>
      <c r="I176" s="27">
        <f t="shared" si="43"/>
        <v>1</v>
      </c>
      <c r="J176" s="27">
        <f t="shared" si="43"/>
        <v>1</v>
      </c>
    </row>
    <row r="177" spans="1:10">
      <c r="B177" s="38"/>
      <c r="C177" s="27"/>
      <c r="D177" s="27"/>
      <c r="E177" s="27"/>
      <c r="F177" s="27"/>
      <c r="G177" s="27"/>
      <c r="H177" s="27"/>
      <c r="I177" s="27"/>
      <c r="J177" s="27"/>
    </row>
    <row r="178" spans="1:10" ht="17.25" customHeight="1">
      <c r="B178" s="38" t="s">
        <v>205</v>
      </c>
      <c r="C178" s="27">
        <f>1-SUM(C170:C173)</f>
        <v>0.13465694219340896</v>
      </c>
      <c r="D178" s="27">
        <f t="shared" ref="D178:J178" si="44">1-SUM(D170:D173)</f>
        <v>0.14710873254144374</v>
      </c>
      <c r="E178" s="27">
        <f t="shared" si="44"/>
        <v>0.16409316932740126</v>
      </c>
      <c r="F178" s="27">
        <f t="shared" si="44"/>
        <v>7.4657818332642067E-2</v>
      </c>
      <c r="G178" s="27">
        <f t="shared" si="44"/>
        <v>0.12872862256396655</v>
      </c>
      <c r="H178" s="27">
        <f t="shared" si="44"/>
        <v>9.0949162503673353E-2</v>
      </c>
      <c r="I178" s="27">
        <f>1-SUM(I170:I173)</f>
        <v>8.3042356156065034E-2</v>
      </c>
      <c r="J178" s="27">
        <f t="shared" si="44"/>
        <v>7.7771066143159207E-2</v>
      </c>
    </row>
    <row r="179" spans="1:10">
      <c r="B179" s="38"/>
      <c r="C179" s="27"/>
      <c r="D179" s="27"/>
      <c r="E179" s="27"/>
      <c r="F179" s="27"/>
      <c r="G179" s="27"/>
      <c r="H179" s="27"/>
      <c r="I179" s="27"/>
      <c r="J179" s="27"/>
    </row>
    <row r="180" spans="1:10" ht="21.75" customHeight="1">
      <c r="A180" s="14" t="s">
        <v>113</v>
      </c>
      <c r="B180" s="14"/>
      <c r="C180" s="15"/>
      <c r="D180" s="15"/>
      <c r="E180" s="15"/>
      <c r="F180" s="16"/>
      <c r="G180" s="16"/>
      <c r="H180" s="16"/>
      <c r="I180" s="16"/>
      <c r="J180" s="16"/>
    </row>
    <row r="181" spans="1:10" ht="25.5" customHeight="1">
      <c r="A181" s="10" t="s">
        <v>114</v>
      </c>
      <c r="B181" s="23"/>
      <c r="C181" s="18"/>
      <c r="D181" s="18"/>
      <c r="E181" s="18"/>
      <c r="F181" s="18"/>
      <c r="G181" s="18"/>
      <c r="H181" s="18"/>
      <c r="I181" s="18"/>
      <c r="J181" s="18"/>
    </row>
    <row r="182" spans="1:10">
      <c r="B182" s="79" t="s">
        <v>4</v>
      </c>
      <c r="C182" s="80">
        <v>6</v>
      </c>
      <c r="D182" s="80">
        <v>5</v>
      </c>
      <c r="E182" s="80">
        <v>6</v>
      </c>
      <c r="F182" s="80">
        <v>5</v>
      </c>
      <c r="G182" s="80">
        <v>4</v>
      </c>
      <c r="H182" s="80">
        <v>6</v>
      </c>
      <c r="I182" s="80">
        <v>7</v>
      </c>
      <c r="J182" s="80">
        <v>6</v>
      </c>
    </row>
    <row r="183" spans="1:10">
      <c r="B183" s="79" t="s">
        <v>108</v>
      </c>
      <c r="C183" s="80">
        <v>0</v>
      </c>
      <c r="D183" s="80">
        <v>0</v>
      </c>
      <c r="E183" s="80">
        <v>0</v>
      </c>
      <c r="F183" s="80">
        <v>0</v>
      </c>
      <c r="G183" s="80">
        <v>0</v>
      </c>
      <c r="H183" s="80">
        <v>0</v>
      </c>
      <c r="I183" s="80">
        <v>0</v>
      </c>
      <c r="J183" s="80">
        <v>1</v>
      </c>
    </row>
    <row r="184" spans="1:10">
      <c r="B184" s="79" t="s">
        <v>109</v>
      </c>
      <c r="C184" s="80">
        <v>11</v>
      </c>
      <c r="D184" s="80">
        <v>7</v>
      </c>
      <c r="E184" s="80">
        <v>11</v>
      </c>
      <c r="F184" s="80">
        <v>12</v>
      </c>
      <c r="G184" s="80">
        <v>15</v>
      </c>
      <c r="H184" s="80">
        <v>17</v>
      </c>
      <c r="I184" s="80">
        <v>15</v>
      </c>
      <c r="J184" s="80">
        <v>16</v>
      </c>
    </row>
    <row r="185" spans="1:10">
      <c r="B185" s="79" t="s">
        <v>110</v>
      </c>
      <c r="C185" s="80">
        <v>7</v>
      </c>
      <c r="D185" s="80">
        <v>10</v>
      </c>
      <c r="E185" s="80">
        <v>13</v>
      </c>
      <c r="F185" s="80">
        <v>7</v>
      </c>
      <c r="G185" s="80">
        <v>7</v>
      </c>
      <c r="H185" s="80">
        <v>9</v>
      </c>
      <c r="I185" s="80">
        <v>14</v>
      </c>
      <c r="J185" s="80">
        <v>15</v>
      </c>
    </row>
    <row r="186" spans="1:10">
      <c r="B186" s="79" t="s">
        <v>111</v>
      </c>
      <c r="C186" s="80">
        <v>136</v>
      </c>
      <c r="D186" s="80">
        <v>133</v>
      </c>
      <c r="E186" s="80">
        <v>148</v>
      </c>
      <c r="F186" s="80">
        <v>157</v>
      </c>
      <c r="G186" s="80">
        <v>155</v>
      </c>
      <c r="H186" s="80">
        <v>151</v>
      </c>
      <c r="I186" s="80">
        <v>143</v>
      </c>
      <c r="J186" s="80">
        <v>139</v>
      </c>
    </row>
    <row r="187" spans="1:10">
      <c r="B187" s="81" t="s">
        <v>112</v>
      </c>
      <c r="C187" s="82">
        <v>1</v>
      </c>
      <c r="D187" s="82">
        <v>14</v>
      </c>
      <c r="E187" s="82">
        <v>1</v>
      </c>
      <c r="F187" s="82">
        <v>0</v>
      </c>
      <c r="G187" s="82">
        <v>6</v>
      </c>
      <c r="H187" s="82">
        <v>11</v>
      </c>
      <c r="I187" s="82">
        <v>15</v>
      </c>
      <c r="J187" s="82">
        <v>17</v>
      </c>
    </row>
    <row r="188" spans="1:10">
      <c r="C188" s="83">
        <f t="shared" ref="C188:H188" si="45">SUM(C182:C187)</f>
        <v>161</v>
      </c>
      <c r="D188" s="83">
        <f t="shared" si="45"/>
        <v>169</v>
      </c>
      <c r="E188" s="83">
        <f t="shared" si="45"/>
        <v>179</v>
      </c>
      <c r="F188" s="83">
        <f t="shared" si="45"/>
        <v>181</v>
      </c>
      <c r="G188" s="83">
        <f t="shared" si="45"/>
        <v>187</v>
      </c>
      <c r="H188" s="83">
        <f t="shared" si="45"/>
        <v>194</v>
      </c>
      <c r="I188" s="83">
        <f t="shared" ref="I188:J188" si="46">SUM(I182:I187)</f>
        <v>194</v>
      </c>
      <c r="J188" s="83">
        <f t="shared" si="46"/>
        <v>194</v>
      </c>
    </row>
    <row r="189" spans="1:10" ht="21" customHeight="1">
      <c r="A189" s="10" t="s">
        <v>115</v>
      </c>
      <c r="B189" s="23"/>
      <c r="C189" s="18"/>
      <c r="D189" s="18"/>
      <c r="E189" s="18"/>
      <c r="F189" s="18"/>
      <c r="G189" s="18"/>
      <c r="H189" s="18"/>
      <c r="I189" s="18"/>
      <c r="J189" s="18"/>
    </row>
    <row r="190" spans="1:10">
      <c r="B190" s="79" t="s">
        <v>4</v>
      </c>
      <c r="C190" s="80">
        <v>31</v>
      </c>
      <c r="D190" s="80">
        <v>35</v>
      </c>
      <c r="E190" s="80">
        <v>34</v>
      </c>
      <c r="F190" s="80">
        <v>39</v>
      </c>
      <c r="G190" s="80">
        <v>35</v>
      </c>
      <c r="H190" s="80">
        <v>32</v>
      </c>
      <c r="I190" s="80">
        <v>33</v>
      </c>
      <c r="J190" s="80">
        <v>37</v>
      </c>
    </row>
    <row r="191" spans="1:10">
      <c r="B191" s="79" t="s">
        <v>108</v>
      </c>
      <c r="C191" s="80">
        <v>2</v>
      </c>
      <c r="D191" s="80">
        <v>4</v>
      </c>
      <c r="E191" s="80">
        <v>5</v>
      </c>
      <c r="F191" s="80">
        <v>5</v>
      </c>
      <c r="G191" s="80">
        <v>4</v>
      </c>
      <c r="H191" s="80">
        <v>3</v>
      </c>
      <c r="I191" s="80">
        <v>3</v>
      </c>
      <c r="J191" s="80">
        <v>3</v>
      </c>
    </row>
    <row r="192" spans="1:10">
      <c r="B192" s="79" t="s">
        <v>109</v>
      </c>
      <c r="C192" s="80">
        <v>28</v>
      </c>
      <c r="D192" s="80">
        <v>28</v>
      </c>
      <c r="E192" s="80">
        <v>30</v>
      </c>
      <c r="F192" s="80">
        <v>33</v>
      </c>
      <c r="G192" s="80">
        <v>33</v>
      </c>
      <c r="H192" s="80">
        <v>35</v>
      </c>
      <c r="I192" s="80">
        <v>36</v>
      </c>
      <c r="J192" s="80">
        <v>35</v>
      </c>
    </row>
    <row r="193" spans="1:10">
      <c r="B193" s="79" t="s">
        <v>110</v>
      </c>
      <c r="C193" s="80">
        <v>76</v>
      </c>
      <c r="D193" s="80">
        <v>80</v>
      </c>
      <c r="E193" s="80">
        <v>85</v>
      </c>
      <c r="F193" s="80">
        <v>83</v>
      </c>
      <c r="G193" s="80">
        <v>86</v>
      </c>
      <c r="H193" s="80">
        <v>83</v>
      </c>
      <c r="I193" s="80">
        <v>85</v>
      </c>
      <c r="J193" s="80">
        <v>90</v>
      </c>
    </row>
    <row r="194" spans="1:10">
      <c r="B194" s="79" t="s">
        <v>111</v>
      </c>
      <c r="C194" s="80">
        <v>235</v>
      </c>
      <c r="D194" s="80">
        <v>239</v>
      </c>
      <c r="E194" s="80">
        <v>245</v>
      </c>
      <c r="F194" s="80">
        <v>246</v>
      </c>
      <c r="G194" s="80">
        <v>233</v>
      </c>
      <c r="H194" s="80">
        <v>230</v>
      </c>
      <c r="I194" s="80">
        <v>226</v>
      </c>
      <c r="J194" s="80">
        <v>229</v>
      </c>
    </row>
    <row r="195" spans="1:10">
      <c r="B195" s="81" t="s">
        <v>112</v>
      </c>
      <c r="C195" s="82">
        <v>0</v>
      </c>
      <c r="D195" s="82">
        <v>5</v>
      </c>
      <c r="E195" s="82">
        <v>2</v>
      </c>
      <c r="F195" s="82">
        <v>1</v>
      </c>
      <c r="G195" s="82">
        <v>10</v>
      </c>
      <c r="H195" s="82">
        <v>11</v>
      </c>
      <c r="I195" s="82">
        <v>17</v>
      </c>
      <c r="J195" s="82">
        <v>19</v>
      </c>
    </row>
    <row r="196" spans="1:10">
      <c r="C196" s="83">
        <f t="shared" ref="C196:H196" si="47">SUM(C190:C195)</f>
        <v>372</v>
      </c>
      <c r="D196" s="83">
        <f t="shared" si="47"/>
        <v>391</v>
      </c>
      <c r="E196" s="83">
        <f t="shared" si="47"/>
        <v>401</v>
      </c>
      <c r="F196" s="83">
        <f t="shared" si="47"/>
        <v>407</v>
      </c>
      <c r="G196" s="83">
        <f t="shared" si="47"/>
        <v>401</v>
      </c>
      <c r="H196" s="83">
        <f t="shared" si="47"/>
        <v>394</v>
      </c>
      <c r="I196" s="83">
        <v>400</v>
      </c>
      <c r="J196" s="83">
        <v>413</v>
      </c>
    </row>
    <row r="197" spans="1:10">
      <c r="C197" s="149"/>
      <c r="D197" s="149"/>
      <c r="E197" s="149"/>
      <c r="F197" s="149"/>
      <c r="G197" s="149"/>
      <c r="H197" s="149"/>
      <c r="I197" s="149"/>
      <c r="J197" s="149"/>
    </row>
    <row r="198" spans="1:10" ht="31.5" customHeight="1">
      <c r="A198" s="10" t="s">
        <v>116</v>
      </c>
      <c r="B198" s="23"/>
      <c r="C198" s="18">
        <v>2001</v>
      </c>
      <c r="D198" s="18">
        <f>C198+1</f>
        <v>2002</v>
      </c>
      <c r="E198" s="18">
        <f t="shared" ref="E198:J198" si="48">D198+1</f>
        <v>2003</v>
      </c>
      <c r="F198" s="18">
        <f t="shared" si="48"/>
        <v>2004</v>
      </c>
      <c r="G198" s="18">
        <f t="shared" si="48"/>
        <v>2005</v>
      </c>
      <c r="H198" s="18">
        <f t="shared" si="48"/>
        <v>2006</v>
      </c>
      <c r="I198" s="18">
        <f t="shared" si="48"/>
        <v>2007</v>
      </c>
      <c r="J198" s="18">
        <f t="shared" si="48"/>
        <v>2008</v>
      </c>
    </row>
    <row r="199" spans="1:10">
      <c r="B199" s="79" t="s">
        <v>207</v>
      </c>
      <c r="C199" s="84">
        <f t="shared" ref="C199:J205" si="49">C182/C$188</f>
        <v>3.7267080745341616E-2</v>
      </c>
      <c r="D199" s="84">
        <f t="shared" si="49"/>
        <v>2.9585798816568046E-2</v>
      </c>
      <c r="E199" s="84">
        <f t="shared" si="49"/>
        <v>3.3519553072625698E-2</v>
      </c>
      <c r="F199" s="84">
        <f t="shared" si="49"/>
        <v>2.7624309392265192E-2</v>
      </c>
      <c r="G199" s="84">
        <f t="shared" si="49"/>
        <v>2.1390374331550801E-2</v>
      </c>
      <c r="H199" s="84">
        <f t="shared" si="49"/>
        <v>3.0927835051546393E-2</v>
      </c>
      <c r="I199" s="84">
        <f t="shared" si="49"/>
        <v>3.608247422680412E-2</v>
      </c>
      <c r="J199" s="84">
        <f t="shared" si="49"/>
        <v>3.0927835051546393E-2</v>
      </c>
    </row>
    <row r="200" spans="1:10">
      <c r="B200" s="79" t="s">
        <v>108</v>
      </c>
      <c r="C200" s="84">
        <f t="shared" si="49"/>
        <v>0</v>
      </c>
      <c r="D200" s="84">
        <f t="shared" si="49"/>
        <v>0</v>
      </c>
      <c r="E200" s="84">
        <f t="shared" si="49"/>
        <v>0</v>
      </c>
      <c r="F200" s="84">
        <f t="shared" si="49"/>
        <v>0</v>
      </c>
      <c r="G200" s="84">
        <f t="shared" si="49"/>
        <v>0</v>
      </c>
      <c r="H200" s="84">
        <f t="shared" si="49"/>
        <v>0</v>
      </c>
      <c r="I200" s="84">
        <f t="shared" si="49"/>
        <v>0</v>
      </c>
      <c r="J200" s="84">
        <f t="shared" si="49"/>
        <v>5.1546391752577319E-3</v>
      </c>
    </row>
    <row r="201" spans="1:10">
      <c r="B201" s="79" t="s">
        <v>208</v>
      </c>
      <c r="C201" s="84">
        <f t="shared" si="49"/>
        <v>6.8322981366459631E-2</v>
      </c>
      <c r="D201" s="84">
        <f t="shared" si="49"/>
        <v>4.142011834319527E-2</v>
      </c>
      <c r="E201" s="84">
        <f t="shared" si="49"/>
        <v>6.1452513966480445E-2</v>
      </c>
      <c r="F201" s="84">
        <f t="shared" si="49"/>
        <v>6.6298342541436461E-2</v>
      </c>
      <c r="G201" s="84">
        <f t="shared" si="49"/>
        <v>8.0213903743315509E-2</v>
      </c>
      <c r="H201" s="84">
        <f t="shared" si="49"/>
        <v>8.7628865979381437E-2</v>
      </c>
      <c r="I201" s="84">
        <f t="shared" si="49"/>
        <v>7.7319587628865982E-2</v>
      </c>
      <c r="J201" s="84">
        <f t="shared" si="49"/>
        <v>8.247422680412371E-2</v>
      </c>
    </row>
    <row r="202" spans="1:10">
      <c r="B202" s="79" t="s">
        <v>209</v>
      </c>
      <c r="C202" s="84">
        <f t="shared" si="49"/>
        <v>4.3478260869565216E-2</v>
      </c>
      <c r="D202" s="84">
        <f t="shared" si="49"/>
        <v>5.9171597633136092E-2</v>
      </c>
      <c r="E202" s="84">
        <f t="shared" si="49"/>
        <v>7.2625698324022353E-2</v>
      </c>
      <c r="F202" s="84">
        <f t="shared" si="49"/>
        <v>3.8674033149171269E-2</v>
      </c>
      <c r="G202" s="84">
        <f t="shared" si="49"/>
        <v>3.7433155080213901E-2</v>
      </c>
      <c r="H202" s="84">
        <f t="shared" si="49"/>
        <v>4.6391752577319589E-2</v>
      </c>
      <c r="I202" s="84">
        <f t="shared" si="49"/>
        <v>7.2164948453608241E-2</v>
      </c>
      <c r="J202" s="84">
        <f t="shared" si="49"/>
        <v>7.7319587628865982E-2</v>
      </c>
    </row>
    <row r="203" spans="1:10">
      <c r="B203" s="79" t="s">
        <v>213</v>
      </c>
      <c r="C203" s="84">
        <f t="shared" si="49"/>
        <v>0.84472049689440998</v>
      </c>
      <c r="D203" s="84">
        <f t="shared" si="49"/>
        <v>0.78698224852071008</v>
      </c>
      <c r="E203" s="84">
        <f t="shared" si="49"/>
        <v>0.82681564245810057</v>
      </c>
      <c r="F203" s="84">
        <f t="shared" si="49"/>
        <v>0.86740331491712708</v>
      </c>
      <c r="G203" s="84">
        <f t="shared" si="49"/>
        <v>0.82887700534759357</v>
      </c>
      <c r="H203" s="84">
        <f t="shared" si="49"/>
        <v>0.77835051546391754</v>
      </c>
      <c r="I203" s="84">
        <f t="shared" si="49"/>
        <v>0.73711340206185572</v>
      </c>
      <c r="J203" s="84">
        <f t="shared" si="49"/>
        <v>0.71649484536082475</v>
      </c>
    </row>
    <row r="204" spans="1:10">
      <c r="B204" s="81" t="s">
        <v>112</v>
      </c>
      <c r="C204" s="85">
        <f t="shared" si="49"/>
        <v>6.2111801242236021E-3</v>
      </c>
      <c r="D204" s="85">
        <f t="shared" si="49"/>
        <v>8.2840236686390539E-2</v>
      </c>
      <c r="E204" s="85">
        <f t="shared" si="49"/>
        <v>5.5865921787709499E-3</v>
      </c>
      <c r="F204" s="85">
        <f t="shared" si="49"/>
        <v>0</v>
      </c>
      <c r="G204" s="85">
        <f t="shared" si="49"/>
        <v>3.2085561497326207E-2</v>
      </c>
      <c r="H204" s="85">
        <f t="shared" si="49"/>
        <v>5.6701030927835051E-2</v>
      </c>
      <c r="I204" s="85">
        <f t="shared" si="49"/>
        <v>7.7319587628865982E-2</v>
      </c>
      <c r="J204" s="85">
        <f t="shared" si="49"/>
        <v>8.7628865979381437E-2</v>
      </c>
    </row>
    <row r="205" spans="1:10">
      <c r="C205" s="86">
        <f t="shared" si="49"/>
        <v>1</v>
      </c>
      <c r="D205" s="86">
        <f t="shared" si="49"/>
        <v>1</v>
      </c>
      <c r="E205" s="86">
        <f t="shared" si="49"/>
        <v>1</v>
      </c>
      <c r="F205" s="86">
        <f t="shared" si="49"/>
        <v>1</v>
      </c>
      <c r="G205" s="86">
        <f t="shared" si="49"/>
        <v>1</v>
      </c>
      <c r="H205" s="86">
        <f t="shared" si="49"/>
        <v>1</v>
      </c>
      <c r="I205" s="86">
        <f t="shared" si="49"/>
        <v>1</v>
      </c>
      <c r="J205" s="86">
        <f t="shared" si="49"/>
        <v>1</v>
      </c>
    </row>
    <row r="206" spans="1:10" ht="21" customHeight="1">
      <c r="A206" s="10" t="s">
        <v>117</v>
      </c>
      <c r="B206" s="23"/>
      <c r="C206" s="18"/>
      <c r="D206" s="18"/>
      <c r="E206" s="18"/>
      <c r="F206" s="18"/>
      <c r="G206" s="18"/>
      <c r="H206" s="18"/>
      <c r="I206" s="18"/>
      <c r="J206" s="18"/>
    </row>
    <row r="207" spans="1:10">
      <c r="B207" s="79" t="s">
        <v>210</v>
      </c>
      <c r="C207" s="84">
        <f>C190/C$196</f>
        <v>8.3333333333333329E-2</v>
      </c>
      <c r="D207" s="84">
        <f t="shared" ref="D207:J207" si="50">D190/D$196</f>
        <v>8.9514066496163683E-2</v>
      </c>
      <c r="E207" s="84">
        <f t="shared" si="50"/>
        <v>8.4788029925187039E-2</v>
      </c>
      <c r="F207" s="84">
        <f t="shared" si="50"/>
        <v>9.5823095823095825E-2</v>
      </c>
      <c r="G207" s="84">
        <f t="shared" si="50"/>
        <v>8.7281795511221949E-2</v>
      </c>
      <c r="H207" s="84">
        <f t="shared" si="50"/>
        <v>8.1218274111675121E-2</v>
      </c>
      <c r="I207" s="84">
        <f t="shared" si="50"/>
        <v>8.2500000000000004E-2</v>
      </c>
      <c r="J207" s="84">
        <f t="shared" si="50"/>
        <v>8.9588377723970949E-2</v>
      </c>
    </row>
    <row r="208" spans="1:10">
      <c r="B208" s="79" t="s">
        <v>108</v>
      </c>
      <c r="C208" s="84">
        <f t="shared" ref="C208:J208" si="51">C191/C$196</f>
        <v>5.3763440860215058E-3</v>
      </c>
      <c r="D208" s="84">
        <f t="shared" si="51"/>
        <v>1.0230179028132993E-2</v>
      </c>
      <c r="E208" s="84">
        <f t="shared" si="51"/>
        <v>1.2468827930174564E-2</v>
      </c>
      <c r="F208" s="84">
        <f t="shared" si="51"/>
        <v>1.2285012285012284E-2</v>
      </c>
      <c r="G208" s="84">
        <f t="shared" si="51"/>
        <v>9.9750623441396506E-3</v>
      </c>
      <c r="H208" s="84">
        <f t="shared" si="51"/>
        <v>7.6142131979695434E-3</v>
      </c>
      <c r="I208" s="84">
        <f t="shared" si="51"/>
        <v>7.4999999999999997E-3</v>
      </c>
      <c r="J208" s="84">
        <f t="shared" si="51"/>
        <v>7.2639225181598066E-3</v>
      </c>
    </row>
    <row r="209" spans="1:10">
      <c r="B209" s="79" t="s">
        <v>211</v>
      </c>
      <c r="C209" s="84">
        <f t="shared" ref="C209:J209" si="52">C192/C$196</f>
        <v>7.5268817204301078E-2</v>
      </c>
      <c r="D209" s="84">
        <f t="shared" si="52"/>
        <v>7.1611253196930943E-2</v>
      </c>
      <c r="E209" s="84">
        <f t="shared" si="52"/>
        <v>7.4812967581047385E-2</v>
      </c>
      <c r="F209" s="84">
        <f t="shared" si="52"/>
        <v>8.1081081081081086E-2</v>
      </c>
      <c r="G209" s="84">
        <f t="shared" si="52"/>
        <v>8.2294264339152115E-2</v>
      </c>
      <c r="H209" s="84">
        <f t="shared" si="52"/>
        <v>8.8832487309644673E-2</v>
      </c>
      <c r="I209" s="84">
        <f t="shared" si="52"/>
        <v>0.09</v>
      </c>
      <c r="J209" s="84">
        <f t="shared" si="52"/>
        <v>8.4745762711864403E-2</v>
      </c>
    </row>
    <row r="210" spans="1:10">
      <c r="B210" s="79" t="s">
        <v>212</v>
      </c>
      <c r="C210" s="84">
        <f t="shared" ref="C210:J210" si="53">C193/C$196</f>
        <v>0.20430107526881722</v>
      </c>
      <c r="D210" s="84">
        <f t="shared" si="53"/>
        <v>0.20460358056265984</v>
      </c>
      <c r="E210" s="84">
        <f t="shared" si="53"/>
        <v>0.21197007481296759</v>
      </c>
      <c r="F210" s="84">
        <f t="shared" si="53"/>
        <v>0.20393120393120392</v>
      </c>
      <c r="G210" s="84">
        <f t="shared" si="53"/>
        <v>0.21446384039900249</v>
      </c>
      <c r="H210" s="84">
        <f t="shared" si="53"/>
        <v>0.21065989847715735</v>
      </c>
      <c r="I210" s="84">
        <f t="shared" si="53"/>
        <v>0.21249999999999999</v>
      </c>
      <c r="J210" s="84">
        <f t="shared" si="53"/>
        <v>0.21791767554479419</v>
      </c>
    </row>
    <row r="211" spans="1:10">
      <c r="B211" s="79" t="s">
        <v>214</v>
      </c>
      <c r="C211" s="84">
        <f t="shared" ref="C211:J211" si="54">C194/C$196</f>
        <v>0.63172043010752688</v>
      </c>
      <c r="D211" s="84">
        <f t="shared" si="54"/>
        <v>0.61125319693094626</v>
      </c>
      <c r="E211" s="84">
        <f t="shared" si="54"/>
        <v>0.61097256857855364</v>
      </c>
      <c r="F211" s="84">
        <f t="shared" si="54"/>
        <v>0.60442260442260443</v>
      </c>
      <c r="G211" s="84">
        <f t="shared" si="54"/>
        <v>0.58104738154613467</v>
      </c>
      <c r="H211" s="84">
        <f t="shared" si="54"/>
        <v>0.58375634517766495</v>
      </c>
      <c r="I211" s="84">
        <f t="shared" si="54"/>
        <v>0.56499999999999995</v>
      </c>
      <c r="J211" s="84">
        <f t="shared" si="54"/>
        <v>0.55447941888619856</v>
      </c>
    </row>
    <row r="212" spans="1:10">
      <c r="B212" s="81" t="s">
        <v>112</v>
      </c>
      <c r="C212" s="85">
        <f t="shared" ref="C212:J212" si="55">C195/C$196</f>
        <v>0</v>
      </c>
      <c r="D212" s="85">
        <f t="shared" si="55"/>
        <v>1.278772378516624E-2</v>
      </c>
      <c r="E212" s="85">
        <f t="shared" si="55"/>
        <v>4.9875311720698253E-3</v>
      </c>
      <c r="F212" s="85">
        <f t="shared" si="55"/>
        <v>2.4570024570024569E-3</v>
      </c>
      <c r="G212" s="85">
        <f t="shared" si="55"/>
        <v>2.4937655860349128E-2</v>
      </c>
      <c r="H212" s="85">
        <f t="shared" si="55"/>
        <v>2.7918781725888325E-2</v>
      </c>
      <c r="I212" s="85">
        <f t="shared" si="55"/>
        <v>4.2500000000000003E-2</v>
      </c>
      <c r="J212" s="85">
        <f t="shared" si="55"/>
        <v>4.6004842615012108E-2</v>
      </c>
    </row>
    <row r="213" spans="1:10">
      <c r="C213" s="86">
        <f t="shared" ref="C213:I213" si="56">C196/C$196</f>
        <v>1</v>
      </c>
      <c r="D213" s="86">
        <f t="shared" si="56"/>
        <v>1</v>
      </c>
      <c r="E213" s="86">
        <f t="shared" si="56"/>
        <v>1</v>
      </c>
      <c r="F213" s="86">
        <f t="shared" si="56"/>
        <v>1</v>
      </c>
      <c r="G213" s="86">
        <f t="shared" si="56"/>
        <v>1</v>
      </c>
      <c r="H213" s="86">
        <f t="shared" si="56"/>
        <v>1</v>
      </c>
      <c r="I213" s="86">
        <f t="shared" si="56"/>
        <v>1</v>
      </c>
      <c r="J213" s="86">
        <f>SUM(J207:J212)</f>
        <v>1</v>
      </c>
    </row>
    <row r="215" spans="1:10" ht="21.75" customHeight="1">
      <c r="A215" s="10" t="s">
        <v>196</v>
      </c>
      <c r="B215" s="23"/>
      <c r="C215" s="18">
        <v>2001</v>
      </c>
      <c r="D215" s="18">
        <f>C215+1</f>
        <v>2002</v>
      </c>
      <c r="E215" s="18">
        <f t="shared" ref="E215" si="57">D215+1</f>
        <v>2003</v>
      </c>
      <c r="F215" s="18">
        <f t="shared" ref="F215" si="58">E215+1</f>
        <v>2004</v>
      </c>
      <c r="G215" s="18">
        <f t="shared" ref="G215" si="59">F215+1</f>
        <v>2005</v>
      </c>
      <c r="H215" s="18">
        <f t="shared" ref="H215" si="60">G215+1</f>
        <v>2006</v>
      </c>
      <c r="I215" s="18">
        <f t="shared" ref="I215" si="61">H215+1</f>
        <v>2007</v>
      </c>
      <c r="J215" s="18">
        <f t="shared" ref="J215" si="62">I215+1</f>
        <v>2008</v>
      </c>
    </row>
    <row r="216" spans="1:10">
      <c r="B216" s="32" t="s">
        <v>9</v>
      </c>
      <c r="C216" s="33">
        <v>0.36646115906288534</v>
      </c>
      <c r="D216" s="33">
        <v>0.48622895183396425</v>
      </c>
      <c r="E216" s="33">
        <v>0.35639550091551137</v>
      </c>
      <c r="F216" s="33">
        <v>0.34882882882882882</v>
      </c>
      <c r="G216" s="27">
        <v>0.32904853435848153</v>
      </c>
      <c r="H216" s="27">
        <v>0.32904853435848153</v>
      </c>
      <c r="I216" s="27">
        <v>0.3309317963496638</v>
      </c>
      <c r="J216" s="27">
        <v>0.34780876494023905</v>
      </c>
    </row>
    <row r="217" spans="1:10">
      <c r="B217" s="34" t="s">
        <v>10</v>
      </c>
      <c r="C217" s="35">
        <v>0.61196054254007404</v>
      </c>
      <c r="D217" s="35">
        <v>0.50189270330244096</v>
      </c>
      <c r="E217" s="35">
        <v>0.63523410933821611</v>
      </c>
      <c r="F217" s="35">
        <v>0.65117117117117118</v>
      </c>
      <c r="G217" s="25">
        <v>0.65917827967323406</v>
      </c>
      <c r="H217" s="25">
        <v>0.65917827967323406</v>
      </c>
      <c r="I217" s="25">
        <v>0.66498559077809793</v>
      </c>
      <c r="J217" s="25">
        <v>0.64077025232403717</v>
      </c>
    </row>
    <row r="218" spans="1:10" ht="13.5" thickBot="1">
      <c r="B218" s="36" t="s">
        <v>11</v>
      </c>
      <c r="C218" s="37">
        <v>2.1578298397040691E-2</v>
      </c>
      <c r="D218" s="37">
        <v>1.1878344863594832E-2</v>
      </c>
      <c r="E218" s="37">
        <v>8.37038974627256E-3</v>
      </c>
      <c r="F218" s="37">
        <v>0</v>
      </c>
      <c r="G218" s="37">
        <v>1.1773185968284479E-2</v>
      </c>
      <c r="H218" s="37">
        <v>1.1773185968284479E-2</v>
      </c>
      <c r="I218" s="37">
        <v>4.0826128722382324E-3</v>
      </c>
      <c r="J218" s="37">
        <v>1.1420982735723771E-2</v>
      </c>
    </row>
    <row r="219" spans="1:10" ht="13.5" thickTop="1">
      <c r="B219" s="38" t="s">
        <v>8</v>
      </c>
      <c r="C219" s="39">
        <v>1</v>
      </c>
      <c r="D219" s="39">
        <v>1</v>
      </c>
      <c r="E219" s="39">
        <v>1</v>
      </c>
      <c r="F219" s="39">
        <v>1</v>
      </c>
      <c r="G219" s="27">
        <v>1.0000000000000002</v>
      </c>
      <c r="H219" s="27">
        <v>1.0000000000000002</v>
      </c>
      <c r="I219" s="27">
        <v>1</v>
      </c>
      <c r="J219" s="27">
        <v>1</v>
      </c>
    </row>
    <row r="221" spans="1:10" ht="21.75" customHeight="1">
      <c r="A221" s="10" t="s">
        <v>198</v>
      </c>
      <c r="B221" s="23"/>
      <c r="C221" s="18"/>
      <c r="D221" s="18"/>
      <c r="E221" s="18"/>
      <c r="F221" s="18"/>
      <c r="G221" s="18"/>
      <c r="H221" s="18"/>
      <c r="I221" s="18"/>
      <c r="J221" s="18"/>
    </row>
    <row r="222" spans="1:10">
      <c r="B222" s="32" t="s">
        <v>9</v>
      </c>
      <c r="C222" s="33">
        <v>0.57999999999999996</v>
      </c>
      <c r="D222" s="33">
        <v>0.56000000000000005</v>
      </c>
      <c r="E222" s="33">
        <v>0.56000000000000005</v>
      </c>
      <c r="F222" s="33">
        <v>0.56999999999999995</v>
      </c>
      <c r="G222" s="27">
        <v>0.52</v>
      </c>
      <c r="H222" s="27">
        <v>0.53</v>
      </c>
      <c r="I222" s="27">
        <v>0.52600000000000002</v>
      </c>
      <c r="J222" s="27">
        <v>0.51500000000000001</v>
      </c>
    </row>
    <row r="223" spans="1:10" ht="13.5" thickBot="1">
      <c r="B223" s="36" t="s">
        <v>10</v>
      </c>
      <c r="C223" s="37">
        <v>0.42</v>
      </c>
      <c r="D223" s="37">
        <v>0.44</v>
      </c>
      <c r="E223" s="37">
        <v>0.44</v>
      </c>
      <c r="F223" s="37">
        <v>0.43</v>
      </c>
      <c r="G223" s="37">
        <v>0.48</v>
      </c>
      <c r="H223" s="37">
        <v>0.47</v>
      </c>
      <c r="I223" s="37">
        <v>0.47399999999999998</v>
      </c>
      <c r="J223" s="37">
        <v>0.48499999999999999</v>
      </c>
    </row>
    <row r="224" spans="1:10" ht="13.5" thickTop="1">
      <c r="B224" s="38" t="s">
        <v>8</v>
      </c>
      <c r="C224" s="39">
        <f>SUM(C222:C223)</f>
        <v>1</v>
      </c>
      <c r="D224" s="39">
        <f t="shared" ref="D224:J224" si="63">SUM(D222:D223)</f>
        <v>1</v>
      </c>
      <c r="E224" s="39">
        <f t="shared" si="63"/>
        <v>1</v>
      </c>
      <c r="F224" s="39">
        <f t="shared" si="63"/>
        <v>1</v>
      </c>
      <c r="G224" s="39">
        <f t="shared" si="63"/>
        <v>1</v>
      </c>
      <c r="H224" s="39">
        <f t="shared" si="63"/>
        <v>1</v>
      </c>
      <c r="I224" s="39">
        <f t="shared" si="63"/>
        <v>1</v>
      </c>
      <c r="J224" s="39">
        <f t="shared" si="63"/>
        <v>1</v>
      </c>
    </row>
    <row r="225" spans="1:10" ht="21.75" customHeight="1">
      <c r="A225" s="10" t="s">
        <v>199</v>
      </c>
      <c r="B225" s="23"/>
      <c r="C225" s="18"/>
      <c r="D225" s="18"/>
      <c r="E225" s="18"/>
      <c r="F225" s="18"/>
      <c r="G225" s="18"/>
      <c r="H225" s="18"/>
      <c r="I225" s="18"/>
      <c r="J225" s="18"/>
    </row>
    <row r="226" spans="1:10">
      <c r="B226" s="32" t="s">
        <v>9</v>
      </c>
      <c r="C226" s="33">
        <v>0.32258064516129031</v>
      </c>
      <c r="D226" s="33">
        <v>0.33248081841432225</v>
      </c>
      <c r="E226" s="33">
        <v>0.32668329177057359</v>
      </c>
      <c r="F226" s="33">
        <v>0.33415233415233414</v>
      </c>
      <c r="G226" s="27">
        <v>0.35162094763092272</v>
      </c>
      <c r="H226" s="27">
        <v>0.36802030456852791</v>
      </c>
      <c r="I226" s="27">
        <v>0.36</v>
      </c>
      <c r="J226" s="27">
        <v>0.35599999999999998</v>
      </c>
    </row>
    <row r="227" spans="1:10" ht="13.5" thickBot="1">
      <c r="B227" s="36" t="s">
        <v>10</v>
      </c>
      <c r="C227" s="37">
        <v>0.67741935483870963</v>
      </c>
      <c r="D227" s="37">
        <v>0.6675191815856778</v>
      </c>
      <c r="E227" s="37">
        <v>0.67331670822942646</v>
      </c>
      <c r="F227" s="37">
        <v>0.66584766584766586</v>
      </c>
      <c r="G227" s="37">
        <v>0.64837905236907734</v>
      </c>
      <c r="H227" s="37">
        <v>0.63197969543147203</v>
      </c>
      <c r="I227" s="37">
        <v>0.64</v>
      </c>
      <c r="J227" s="37">
        <v>0.64400000000000002</v>
      </c>
    </row>
    <row r="228" spans="1:10" ht="13.5" thickTop="1">
      <c r="B228" s="38" t="s">
        <v>8</v>
      </c>
      <c r="C228" s="39">
        <v>1</v>
      </c>
      <c r="D228" s="39">
        <f t="shared" ref="D228" si="64">SUM(D226:D227)</f>
        <v>1</v>
      </c>
      <c r="E228" s="39">
        <f t="shared" ref="E228" si="65">SUM(E226:E227)</f>
        <v>1</v>
      </c>
      <c r="F228" s="39">
        <f t="shared" ref="F228" si="66">SUM(F226:F227)</f>
        <v>1</v>
      </c>
      <c r="G228" s="39">
        <f t="shared" ref="G228" si="67">SUM(G226:G227)</f>
        <v>1</v>
      </c>
      <c r="H228" s="39">
        <f t="shared" ref="H228" si="68">SUM(H226:H227)</f>
        <v>1</v>
      </c>
      <c r="I228" s="39">
        <f t="shared" ref="I228" si="69">SUM(I226:I227)</f>
        <v>1</v>
      </c>
      <c r="J228" s="39">
        <f t="shared" ref="J228" si="70">SUM(J226:J227)</f>
        <v>1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5"/>
  <sheetViews>
    <sheetView view="pageBreakPreview" zoomScale="106" zoomScaleNormal="100" zoomScaleSheetLayoutView="106" workbookViewId="0">
      <selection activeCell="P9" sqref="P9"/>
    </sheetView>
  </sheetViews>
  <sheetFormatPr defaultRowHeight="15"/>
  <cols>
    <col min="14" max="14" width="17.85546875" customWidth="1"/>
  </cols>
  <sheetData>
    <row r="1" spans="14:14" ht="15.75">
      <c r="N1" s="139" t="s">
        <v>163</v>
      </c>
    </row>
    <row r="33" spans="1:1">
      <c r="A33" s="166" t="s">
        <v>226</v>
      </c>
    </row>
    <row r="34" spans="1:1">
      <c r="A34" s="166" t="s">
        <v>227</v>
      </c>
    </row>
    <row r="35" spans="1:1">
      <c r="A35" s="166"/>
    </row>
  </sheetData>
  <hyperlinks>
    <hyperlink ref="N1" location="Dashboard!A1" display="Dashboard"/>
  </hyperlink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4"/>
  <sheetViews>
    <sheetView view="pageBreakPreview" zoomScaleNormal="100" zoomScaleSheetLayoutView="100" workbookViewId="0">
      <selection activeCell="N22" sqref="N22"/>
    </sheetView>
  </sheetViews>
  <sheetFormatPr defaultRowHeight="15"/>
  <cols>
    <col min="14" max="14" width="17.42578125" customWidth="1"/>
  </cols>
  <sheetData>
    <row r="1" spans="1:14" ht="15.75">
      <c r="A1" s="159"/>
      <c r="N1" s="139" t="s">
        <v>163</v>
      </c>
    </row>
    <row r="34" spans="1:1">
      <c r="A34" s="166" t="s">
        <v>228</v>
      </c>
    </row>
  </sheetData>
  <hyperlinks>
    <hyperlink ref="N1" location="Dashboard!A1" display="Dashboard"/>
  </hyperlink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4"/>
  <sheetViews>
    <sheetView view="pageBreakPreview" zoomScale="98" zoomScaleNormal="100" zoomScaleSheetLayoutView="98" workbookViewId="0">
      <selection activeCell="N16" sqref="N16"/>
    </sheetView>
  </sheetViews>
  <sheetFormatPr defaultRowHeight="15"/>
  <cols>
    <col min="14" max="14" width="17.5703125" customWidth="1"/>
  </cols>
  <sheetData>
    <row r="1" spans="1:14" ht="15.75">
      <c r="A1" s="159"/>
      <c r="N1" s="139" t="s">
        <v>163</v>
      </c>
    </row>
    <row r="34" spans="1:1">
      <c r="A34" s="166" t="s">
        <v>228</v>
      </c>
    </row>
  </sheetData>
  <hyperlinks>
    <hyperlink ref="N1" location="Dashboard!A1" display="Dashboard"/>
  </hyperlink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4"/>
  <sheetViews>
    <sheetView view="pageBreakPreview" zoomScaleNormal="100" zoomScaleSheetLayoutView="100" workbookViewId="0">
      <selection activeCell="O11" sqref="O11"/>
    </sheetView>
  </sheetViews>
  <sheetFormatPr defaultRowHeight="15"/>
  <cols>
    <col min="12" max="12" width="13.28515625" customWidth="1"/>
    <col min="13" max="13" width="16" customWidth="1"/>
  </cols>
  <sheetData>
    <row r="1" spans="13:13" ht="15.75">
      <c r="M1" s="139" t="s">
        <v>163</v>
      </c>
    </row>
    <row r="34" spans="1:1">
      <c r="A34" s="166" t="s">
        <v>227</v>
      </c>
    </row>
  </sheetData>
  <hyperlinks>
    <hyperlink ref="M1" location="Dashboard!A1" display="Dashboard"/>
  </hyperlink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4"/>
  <sheetViews>
    <sheetView view="pageBreakPreview" zoomScaleNormal="100" zoomScaleSheetLayoutView="100" workbookViewId="0">
      <selection activeCell="N21" sqref="N21"/>
    </sheetView>
  </sheetViews>
  <sheetFormatPr defaultRowHeight="15"/>
  <cols>
    <col min="12" max="12" width="13.28515625" customWidth="1"/>
    <col min="13" max="13" width="15.5703125" customWidth="1"/>
  </cols>
  <sheetData>
    <row r="1" spans="13:13" ht="15.75">
      <c r="M1" s="139" t="s">
        <v>163</v>
      </c>
    </row>
    <row r="34" spans="1:1">
      <c r="A34" s="166" t="s">
        <v>227</v>
      </c>
    </row>
  </sheetData>
  <hyperlinks>
    <hyperlink ref="M1" location="Dashboard!A1" display="Dashboard"/>
  </hyperlink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M34"/>
  <sheetViews>
    <sheetView view="pageBreakPreview" zoomScale="96" zoomScaleNormal="100" zoomScaleSheetLayoutView="96" workbookViewId="0">
      <selection activeCell="M19" sqref="M19"/>
    </sheetView>
  </sheetViews>
  <sheetFormatPr defaultRowHeight="15"/>
  <cols>
    <col min="12" max="12" width="13.28515625" customWidth="1"/>
    <col min="13" max="13" width="19.42578125" customWidth="1"/>
  </cols>
  <sheetData>
    <row r="1" spans="13:13" ht="15.75">
      <c r="M1" s="139" t="s">
        <v>163</v>
      </c>
    </row>
    <row r="34" spans="1:1">
      <c r="A34" s="166" t="s">
        <v>227</v>
      </c>
    </row>
  </sheetData>
  <hyperlinks>
    <hyperlink ref="M1" location="Dashboard!A1" display="Dashboard"/>
  </hyperlinks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N34"/>
  <sheetViews>
    <sheetView view="pageBreakPreview" zoomScale="106" zoomScaleNormal="100" zoomScaleSheetLayoutView="106" workbookViewId="0">
      <selection activeCell="O15" sqref="O15"/>
    </sheetView>
  </sheetViews>
  <sheetFormatPr defaultRowHeight="15"/>
  <cols>
    <col min="14" max="14" width="19.42578125" customWidth="1"/>
  </cols>
  <sheetData>
    <row r="1" spans="14:14" ht="15.75">
      <c r="N1" s="139" t="s">
        <v>163</v>
      </c>
    </row>
    <row r="33" spans="1:1">
      <c r="A33" s="166" t="s">
        <v>229</v>
      </c>
    </row>
    <row r="34" spans="1:1">
      <c r="A34" s="166" t="s">
        <v>227</v>
      </c>
    </row>
  </sheetData>
  <hyperlinks>
    <hyperlink ref="N1" location="Dashboard!A1" display="Dashboard"/>
  </hyperlinks>
  <pageMargins left="0.7" right="0.7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N34"/>
  <sheetViews>
    <sheetView view="pageBreakPreview" zoomScaleNormal="100" zoomScaleSheetLayoutView="100" workbookViewId="0">
      <selection activeCell="P16" sqref="P16"/>
    </sheetView>
  </sheetViews>
  <sheetFormatPr defaultRowHeight="15"/>
  <cols>
    <col min="13" max="13" width="7.28515625" customWidth="1"/>
    <col min="14" max="14" width="19.42578125" customWidth="1"/>
  </cols>
  <sheetData>
    <row r="1" spans="14:14" ht="15.75">
      <c r="N1" s="139" t="s">
        <v>163</v>
      </c>
    </row>
    <row r="33" spans="1:1">
      <c r="A33" s="166" t="s">
        <v>230</v>
      </c>
    </row>
    <row r="34" spans="1:1">
      <c r="A34" s="166" t="s">
        <v>227</v>
      </c>
    </row>
  </sheetData>
  <hyperlinks>
    <hyperlink ref="N1" location="Dashboard!A1" display="Dashboard"/>
  </hyperlink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111</vt:i4>
      </vt:variant>
    </vt:vector>
  </HeadingPairs>
  <TitlesOfParts>
    <vt:vector size="126" baseType="lpstr">
      <vt:lpstr>Dashboard</vt:lpstr>
      <vt:lpstr>Graphic1</vt:lpstr>
      <vt:lpstr>Graphic2</vt:lpstr>
      <vt:lpstr>Graphic3</vt:lpstr>
      <vt:lpstr>Graphic4</vt:lpstr>
      <vt:lpstr>Graphic5</vt:lpstr>
      <vt:lpstr>Graphic6</vt:lpstr>
      <vt:lpstr>Graphic7</vt:lpstr>
      <vt:lpstr>Graphic8</vt:lpstr>
      <vt:lpstr>Graphic9</vt:lpstr>
      <vt:lpstr>Graphic10</vt:lpstr>
      <vt:lpstr>Graphic11</vt:lpstr>
      <vt:lpstr>Graphic12</vt:lpstr>
      <vt:lpstr>Graphic Data</vt:lpstr>
      <vt:lpstr>Raw Data</vt:lpstr>
      <vt:lpstr>Data_Points</vt:lpstr>
      <vt:lpstr>DataPoints</vt:lpstr>
      <vt:lpstr>InstNum</vt:lpstr>
      <vt:lpstr>Dashboard!Print_Area</vt:lpstr>
      <vt:lpstr>Graphic1!Print_Area</vt:lpstr>
      <vt:lpstr>Graphic10!Print_Area</vt:lpstr>
      <vt:lpstr>Graphic11!Print_Area</vt:lpstr>
      <vt:lpstr>Graphic12!Print_Area</vt:lpstr>
      <vt:lpstr>Graphic2!Print_Area</vt:lpstr>
      <vt:lpstr>Graphic3!Print_Area</vt:lpstr>
      <vt:lpstr>Graphic4!Print_Area</vt:lpstr>
      <vt:lpstr>Graphic5!Print_Area</vt:lpstr>
      <vt:lpstr>Graphic6!Print_Area</vt:lpstr>
      <vt:lpstr>Graphic7!Print_Area</vt:lpstr>
      <vt:lpstr>Graphic8!Print_Area</vt:lpstr>
      <vt:lpstr>Graphic9!Print_Area</vt:lpstr>
      <vt:lpstr>'Raw Data'!Print_Area</vt:lpstr>
      <vt:lpstr>ref_applicant</vt:lpstr>
      <vt:lpstr>ref_dl_applicant</vt:lpstr>
      <vt:lpstr>ref_dl_enrollment</vt:lpstr>
      <vt:lpstr>ref_dl_ethnicity_employee</vt:lpstr>
      <vt:lpstr>ref_dl_ethnicity_student</vt:lpstr>
      <vt:lpstr>ref_dl_expense</vt:lpstr>
      <vt:lpstr>ref_dl_freshman</vt:lpstr>
      <vt:lpstr>ref_dl_gender</vt:lpstr>
      <vt:lpstr>ref_dl_gpa</vt:lpstr>
      <vt:lpstr>ref_dl_graduation</vt:lpstr>
      <vt:lpstr>ref_dl_income</vt:lpstr>
      <vt:lpstr>ref_dl_new</vt:lpstr>
      <vt:lpstr>ref_dl_retention</vt:lpstr>
      <vt:lpstr>ref_ds_applicant_CAPA</vt:lpstr>
      <vt:lpstr>ref_ds_applicant_doctoral</vt:lpstr>
      <vt:lpstr>ref_ds_applicant_freshman</vt:lpstr>
      <vt:lpstr>ref_ds_applicant_law</vt:lpstr>
      <vt:lpstr>ref_ds_applicant_mcmaster</vt:lpstr>
      <vt:lpstr>ref_ds_applicant_mctransfer</vt:lpstr>
      <vt:lpstr>ref_ds_applicant_rcamaster</vt:lpstr>
      <vt:lpstr>ref_ds_applicant_rcatransfer</vt:lpstr>
      <vt:lpstr>ref_ds_enrollment_CAPA</vt:lpstr>
      <vt:lpstr>ref_ds_enrollment_doctoral</vt:lpstr>
      <vt:lpstr>ref_ds_enrollment_law</vt:lpstr>
      <vt:lpstr>ref_ds_enrollment_MCGR</vt:lpstr>
      <vt:lpstr>ref_ds_enrollment_MCUG</vt:lpstr>
      <vt:lpstr>ref_ds_enrollment_other</vt:lpstr>
      <vt:lpstr>ref_ds_enrollment_total</vt:lpstr>
      <vt:lpstr>ref_ds_ethnicity_faculty_asian</vt:lpstr>
      <vt:lpstr>ref_ds_ethnicity_faculty_black</vt:lpstr>
      <vt:lpstr>ref_ds_ethnicity_faculty_hispanic</vt:lpstr>
      <vt:lpstr>ref_ds_ethnicity_faculty_white</vt:lpstr>
      <vt:lpstr>ref_ds_ethnicity_staff_asian</vt:lpstr>
      <vt:lpstr>ref_ds_ethnicity_staff_black</vt:lpstr>
      <vt:lpstr>ref_ds_ethnicity_staff_hispanic</vt:lpstr>
      <vt:lpstr>ref_ds_ethnicity_staff_white</vt:lpstr>
      <vt:lpstr>ref_ds_ethnicity_student_asian</vt:lpstr>
      <vt:lpstr>ref_ds_ethnicity_student_black</vt:lpstr>
      <vt:lpstr>ref_ds_ethnicity_student_caucasian</vt:lpstr>
      <vt:lpstr>ref_ds_ethnicity_student_hispanic</vt:lpstr>
      <vt:lpstr>ref_ds_ethnicity_student_other</vt:lpstr>
      <vt:lpstr>ref_ds_expense_academic</vt:lpstr>
      <vt:lpstr>ref_ds_expense_auxi</vt:lpstr>
      <vt:lpstr>ref_ds_expense_institutional</vt:lpstr>
      <vt:lpstr>ref_ds_expense_instruction</vt:lpstr>
      <vt:lpstr>ref_ds_expense_student</vt:lpstr>
      <vt:lpstr>ref_ds_expense_total</vt:lpstr>
      <vt:lpstr>ref_ds_freshman_gpa</vt:lpstr>
      <vt:lpstr>ref_ds_freshman_SAT</vt:lpstr>
      <vt:lpstr>ref_ds_gender_faculty</vt:lpstr>
      <vt:lpstr>ref_ds_gender_staff</vt:lpstr>
      <vt:lpstr>ref_ds_gender_student</vt:lpstr>
      <vt:lpstr>ref_ds_gpa_fresh</vt:lpstr>
      <vt:lpstr>ref_ds_gpa_Jun</vt:lpstr>
      <vt:lpstr>ref_ds_gpa_sen</vt:lpstr>
      <vt:lpstr>ref_ds_gpa_soph</vt:lpstr>
      <vt:lpstr>ref_ds_graduation_Freshman4</vt:lpstr>
      <vt:lpstr>ref_ds_graduation_Freshman6</vt:lpstr>
      <vt:lpstr>ref_ds_graduation_transfer4</vt:lpstr>
      <vt:lpstr>ref_ds_graduation_transfer6</vt:lpstr>
      <vt:lpstr>ref_ds_income_ann</vt:lpstr>
      <vt:lpstr>ref_ds_income_auxi</vt:lpstr>
      <vt:lpstr>ref_ds_income_gov</vt:lpstr>
      <vt:lpstr>ref_ds_income_invest</vt:lpstr>
      <vt:lpstr>ref_ds_income_other</vt:lpstr>
      <vt:lpstr>ref_ds_income_prem</vt:lpstr>
      <vt:lpstr>ref_ds_income_private</vt:lpstr>
      <vt:lpstr>ref_ds_income_sponsor</vt:lpstr>
      <vt:lpstr>ref_ds_income_total</vt:lpstr>
      <vt:lpstr>ref_ds_income_tuition</vt:lpstr>
      <vt:lpstr>ref_ds_new_CAPA</vt:lpstr>
      <vt:lpstr>ref_ds_new_doctoral</vt:lpstr>
      <vt:lpstr>ref_ds_new_freshman</vt:lpstr>
      <vt:lpstr>ref_ds_new_law</vt:lpstr>
      <vt:lpstr>ref_ds_new_mcmaster</vt:lpstr>
      <vt:lpstr>ref_ds_new_mctransfer</vt:lpstr>
      <vt:lpstr>ref_ds_new_rcamaster</vt:lpstr>
      <vt:lpstr>ref_ds_new_rcatransfer</vt:lpstr>
      <vt:lpstr>ref_ds_retention_capa</vt:lpstr>
      <vt:lpstr>ref_ds_retention_freshman</vt:lpstr>
      <vt:lpstr>ref_ds_retention_rca</vt:lpstr>
      <vt:lpstr>ref_ds_retention_transfer</vt:lpstr>
      <vt:lpstr>ref_enrollment</vt:lpstr>
      <vt:lpstr>ref_ethnicity_employee</vt:lpstr>
      <vt:lpstr>ref_ethnicity_student</vt:lpstr>
      <vt:lpstr>ref_expense</vt:lpstr>
      <vt:lpstr>ref_freshman</vt:lpstr>
      <vt:lpstr>ref_gender</vt:lpstr>
      <vt:lpstr>ref_graduation</vt:lpstr>
      <vt:lpstr>ref_income</vt:lpstr>
      <vt:lpstr>ref_new</vt:lpstr>
      <vt:lpstr>ref_PrintRange_Start</vt:lpstr>
      <vt:lpstr>ref_retention</vt:lpstr>
      <vt:lpstr>ref_total_gpa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2009-10-22T17:37:25Z</dcterms:modified>
</cp:coreProperties>
</file>